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rank\Documents\AMAZON Textbook\Amamzon Web - Student data files\"/>
    </mc:Choice>
  </mc:AlternateContent>
  <xr:revisionPtr revIDLastSave="0" documentId="13_ncr:1_{6CFD06A8-6F90-48A5-BFB8-4A3EEAF2BFED}" xr6:coauthVersionLast="45" xr6:coauthVersionMax="45" xr10:uidLastSave="{00000000-0000-0000-0000-000000000000}"/>
  <bookViews>
    <workbookView xWindow="-120" yWindow="-120" windowWidth="29040" windowHeight="15840" xr2:uid="{5D80E202-4D2E-4881-91B2-FC5816495183}"/>
  </bookViews>
  <sheets>
    <sheet name="2.1-2.7" sheetId="1" r:id="rId1"/>
    <sheet name="2.8-2.9" sheetId="2" r:id="rId2"/>
    <sheet name="2.10" sheetId="3" r:id="rId3"/>
    <sheet name="2.11" sheetId="5" r:id="rId4"/>
    <sheet name="2.12" sheetId="6" r:id="rId5"/>
    <sheet name="2.13" sheetId="7" r:id="rId6"/>
    <sheet name="2.14" sheetId="8" r:id="rId7"/>
    <sheet name="2.15" sheetId="9" r:id="rId8"/>
    <sheet name="2.15a" sheetId="10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1" i="2" l="1"/>
  <c r="E32" i="2"/>
  <c r="O5" i="9" l="1"/>
  <c r="Q5" i="9" s="1"/>
  <c r="O6" i="9"/>
  <c r="Q6" i="9" s="1"/>
  <c r="O7" i="9"/>
  <c r="Q7" i="9" s="1"/>
  <c r="O8" i="9"/>
  <c r="Q8" i="9" s="1"/>
  <c r="O9" i="9"/>
  <c r="Q9" i="9" s="1"/>
  <c r="O10" i="9"/>
  <c r="Q10" i="9" s="1"/>
  <c r="O11" i="9"/>
  <c r="Q11" i="9" s="1"/>
  <c r="O12" i="9"/>
  <c r="Q12" i="9" s="1"/>
  <c r="O13" i="9"/>
  <c r="Q13" i="9" s="1"/>
  <c r="O14" i="9"/>
  <c r="Q14" i="9" s="1"/>
  <c r="O15" i="9"/>
  <c r="Q15" i="9" s="1"/>
  <c r="O16" i="9"/>
  <c r="Q16" i="9" s="1"/>
  <c r="O17" i="9"/>
  <c r="Q17" i="9" s="1"/>
  <c r="O18" i="9"/>
  <c r="Q18" i="9" s="1"/>
  <c r="O19" i="9"/>
  <c r="Q19" i="9" s="1"/>
  <c r="O20" i="9"/>
  <c r="Q20" i="9" s="1"/>
  <c r="O21" i="9"/>
  <c r="Q21" i="9" s="1"/>
  <c r="O22" i="9"/>
  <c r="Q22" i="9" s="1"/>
  <c r="O23" i="9"/>
  <c r="Q23" i="9" s="1"/>
  <c r="O24" i="9"/>
  <c r="Q24" i="9" s="1"/>
  <c r="O25" i="9"/>
  <c r="Q25" i="9" s="1"/>
  <c r="O26" i="9"/>
  <c r="Q26" i="9" s="1"/>
  <c r="O27" i="9"/>
  <c r="Q27" i="9" s="1"/>
  <c r="O28" i="9"/>
  <c r="Q28" i="9" s="1"/>
  <c r="O29" i="9"/>
  <c r="Q29" i="9" s="1"/>
  <c r="O30" i="9"/>
  <c r="Q30" i="9" s="1"/>
  <c r="O31" i="9"/>
  <c r="Q31" i="9" s="1"/>
  <c r="O32" i="9"/>
  <c r="Q32" i="9" s="1"/>
  <c r="O33" i="9"/>
  <c r="Q33" i="9" s="1"/>
  <c r="O34" i="9"/>
  <c r="Q34" i="9" s="1"/>
  <c r="O35" i="9"/>
  <c r="Q35" i="9" s="1"/>
  <c r="O36" i="9"/>
  <c r="Q36" i="9" s="1"/>
  <c r="O37" i="9"/>
  <c r="Q37" i="9" s="1"/>
  <c r="O38" i="9"/>
  <c r="Q38" i="9" s="1"/>
  <c r="O39" i="9"/>
  <c r="Q39" i="9" s="1"/>
  <c r="O40" i="9"/>
  <c r="Q40" i="9" s="1"/>
  <c r="O41" i="9"/>
  <c r="Q41" i="9" s="1"/>
  <c r="O42" i="9"/>
  <c r="Q42" i="9" s="1"/>
  <c r="O43" i="9"/>
  <c r="Q43" i="9" s="1"/>
  <c r="O44" i="9"/>
  <c r="Q44" i="9" s="1"/>
  <c r="O45" i="9"/>
  <c r="Q45" i="9" s="1"/>
  <c r="O46" i="9"/>
  <c r="Q46" i="9" s="1"/>
  <c r="O47" i="9"/>
  <c r="Q47" i="9" s="1"/>
  <c r="O48" i="9"/>
  <c r="Q48" i="9" s="1"/>
  <c r="O49" i="9"/>
  <c r="Q49" i="9" s="1"/>
  <c r="O50" i="9"/>
  <c r="Q50" i="9" s="1"/>
  <c r="O51" i="9"/>
  <c r="Q51" i="9" s="1"/>
  <c r="O52" i="9"/>
  <c r="Q52" i="9" s="1"/>
  <c r="O53" i="9"/>
  <c r="Q53" i="9" s="1"/>
  <c r="O54" i="9"/>
  <c r="Q54" i="9" s="1"/>
  <c r="O55" i="9"/>
  <c r="Q55" i="9" s="1"/>
  <c r="O56" i="9"/>
  <c r="Q56" i="9" s="1"/>
  <c r="O57" i="9"/>
  <c r="Q57" i="9" s="1"/>
  <c r="O58" i="9"/>
  <c r="Q58" i="9" s="1"/>
  <c r="O59" i="9"/>
  <c r="Q59" i="9" s="1"/>
  <c r="O60" i="9"/>
  <c r="Q60" i="9" s="1"/>
  <c r="O61" i="9"/>
  <c r="Q61" i="9" s="1"/>
  <c r="O62" i="9"/>
  <c r="Q62" i="9" s="1"/>
  <c r="O63" i="9"/>
  <c r="Q63" i="9" s="1"/>
  <c r="O64" i="9"/>
  <c r="Q64" i="9" s="1"/>
  <c r="O65" i="9"/>
  <c r="Q65" i="9" s="1"/>
  <c r="O66" i="9"/>
  <c r="Q66" i="9" s="1"/>
  <c r="O67" i="9"/>
  <c r="Q67" i="9" s="1"/>
  <c r="O68" i="9"/>
  <c r="O69" i="9"/>
  <c r="O70" i="9"/>
  <c r="O71" i="9"/>
  <c r="O72" i="9"/>
  <c r="O73" i="9"/>
  <c r="O74" i="9"/>
  <c r="O75" i="9"/>
  <c r="O76" i="9"/>
  <c r="O77" i="9"/>
  <c r="O78" i="9"/>
  <c r="O79" i="9"/>
  <c r="O80" i="9"/>
  <c r="O81" i="9"/>
  <c r="O82" i="9"/>
  <c r="O83" i="9"/>
  <c r="O84" i="9"/>
  <c r="O85" i="9"/>
  <c r="O86" i="9"/>
  <c r="O87" i="9"/>
  <c r="O88" i="9"/>
  <c r="O89" i="9"/>
  <c r="O90" i="9"/>
  <c r="O91" i="9"/>
  <c r="O92" i="9"/>
  <c r="O93" i="9"/>
  <c r="O94" i="9"/>
  <c r="O95" i="9"/>
  <c r="O96" i="9"/>
  <c r="O97" i="9"/>
  <c r="O98" i="9"/>
  <c r="O99" i="9"/>
  <c r="O100" i="9"/>
  <c r="O101" i="9"/>
  <c r="O102" i="9"/>
  <c r="O103" i="9"/>
  <c r="O104" i="9"/>
  <c r="O105" i="9"/>
  <c r="O106" i="9"/>
  <c r="O107" i="9"/>
  <c r="O108" i="9"/>
  <c r="O109" i="9"/>
  <c r="O110" i="9"/>
  <c r="O111" i="9"/>
  <c r="O112" i="9"/>
  <c r="O113" i="9"/>
  <c r="O114" i="9"/>
  <c r="O115" i="9"/>
  <c r="O116" i="9"/>
  <c r="O117" i="9"/>
  <c r="O118" i="9"/>
  <c r="O119" i="9"/>
  <c r="O120" i="9"/>
  <c r="O121" i="9"/>
  <c r="O122" i="9"/>
  <c r="O123" i="9"/>
  <c r="O124" i="9"/>
  <c r="O125" i="9"/>
  <c r="O126" i="9"/>
  <c r="O127" i="9"/>
  <c r="O128" i="9"/>
  <c r="O129" i="9"/>
  <c r="O130" i="9"/>
  <c r="O4" i="9"/>
  <c r="Q4" i="9" s="1"/>
  <c r="O3" i="9"/>
  <c r="Q3" i="9" s="1"/>
  <c r="S4" i="9"/>
  <c r="P4" i="9" s="1"/>
  <c r="P5" i="9" s="1"/>
  <c r="P6" i="9" s="1"/>
  <c r="P7" i="9" s="1"/>
  <c r="P8" i="9" s="1"/>
  <c r="P9" i="9" s="1"/>
  <c r="P10" i="9" s="1"/>
  <c r="P11" i="9" s="1"/>
  <c r="P12" i="9" s="1"/>
  <c r="P13" i="9" s="1"/>
  <c r="P14" i="9" s="1"/>
  <c r="S3" i="9"/>
  <c r="P15" i="9" l="1"/>
  <c r="P16" i="9" s="1"/>
  <c r="P17" i="9" s="1"/>
  <c r="P18" i="9" s="1"/>
  <c r="P19" i="9" s="1"/>
  <c r="P20" i="9" s="1"/>
  <c r="P21" i="9" s="1"/>
  <c r="P22" i="9" s="1"/>
  <c r="P23" i="9" s="1"/>
  <c r="P24" i="9" s="1"/>
  <c r="P25" i="9" s="1"/>
  <c r="P26" i="9" s="1"/>
  <c r="P27" i="9" s="1"/>
  <c r="P28" i="9" s="1"/>
  <c r="P29" i="9" s="1"/>
  <c r="P30" i="9" s="1"/>
  <c r="P31" i="9" s="1"/>
  <c r="P32" i="9" s="1"/>
  <c r="P33" i="9" s="1"/>
  <c r="P34" i="9" s="1"/>
  <c r="P35" i="9" s="1"/>
  <c r="P36" i="9" s="1"/>
  <c r="P37" i="9" s="1"/>
  <c r="P38" i="9" s="1"/>
  <c r="P39" i="9" s="1"/>
  <c r="P40" i="9" s="1"/>
  <c r="P41" i="9" s="1"/>
  <c r="P42" i="9" s="1"/>
  <c r="P43" i="9" s="1"/>
  <c r="P44" i="9" s="1"/>
  <c r="P45" i="9" s="1"/>
  <c r="P46" i="9" s="1"/>
  <c r="P47" i="9" s="1"/>
  <c r="P48" i="9" s="1"/>
  <c r="P49" i="9" s="1"/>
  <c r="P50" i="9" s="1"/>
  <c r="P51" i="9" s="1"/>
  <c r="P52" i="9" s="1"/>
  <c r="P53" i="9" s="1"/>
  <c r="P54" i="9" s="1"/>
  <c r="P55" i="9" s="1"/>
  <c r="P56" i="9" s="1"/>
  <c r="P57" i="9" s="1"/>
  <c r="P58" i="9" s="1"/>
  <c r="P59" i="9" s="1"/>
  <c r="P60" i="9" s="1"/>
  <c r="P61" i="9" s="1"/>
  <c r="P62" i="9" s="1"/>
  <c r="P63" i="9" s="1"/>
  <c r="P64" i="9" s="1"/>
  <c r="P65" i="9" s="1"/>
  <c r="P66" i="9" s="1"/>
  <c r="P67" i="9" s="1"/>
  <c r="R14" i="9"/>
  <c r="D7" i="10"/>
  <c r="F7" i="10" s="1"/>
  <c r="B2" i="10"/>
  <c r="F1" i="10" s="1"/>
  <c r="F2" i="10" s="1"/>
  <c r="E6" i="10" s="1"/>
  <c r="E7" i="10" s="1"/>
  <c r="E8" i="10" s="1"/>
  <c r="E9" i="10" s="1"/>
  <c r="E10" i="10" s="1"/>
  <c r="E11" i="10" s="1"/>
  <c r="E12" i="10" s="1"/>
  <c r="E13" i="10" s="1"/>
  <c r="E14" i="10" s="1"/>
  <c r="E15" i="10" s="1"/>
  <c r="E16" i="10" s="1"/>
  <c r="E17" i="10" s="1"/>
  <c r="E18" i="10" s="1"/>
  <c r="E19" i="10" s="1"/>
  <c r="E20" i="10" s="1"/>
  <c r="E21" i="10" s="1"/>
  <c r="E22" i="10" s="1"/>
  <c r="E23" i="10" s="1"/>
  <c r="E24" i="10" s="1"/>
  <c r="E25" i="10" s="1"/>
  <c r="E26" i="10" s="1"/>
  <c r="E27" i="10" s="1"/>
  <c r="E28" i="10" s="1"/>
  <c r="D5" i="10"/>
  <c r="F5" i="10" s="1"/>
  <c r="D6" i="10"/>
  <c r="F6" i="10"/>
  <c r="D8" i="10"/>
  <c r="F8" i="10" s="1"/>
  <c r="D9" i="10"/>
  <c r="F9" i="10" s="1"/>
  <c r="D10" i="10"/>
  <c r="F10" i="10" s="1"/>
  <c r="D11" i="10"/>
  <c r="F11" i="10" s="1"/>
  <c r="D12" i="10"/>
  <c r="F12" i="10" s="1"/>
  <c r="D13" i="10"/>
  <c r="F13" i="10" s="1"/>
  <c r="D14" i="10"/>
  <c r="F14" i="10" s="1"/>
  <c r="D15" i="10"/>
  <c r="F15" i="10" s="1"/>
  <c r="D16" i="10"/>
  <c r="F16" i="10" s="1"/>
  <c r="D17" i="10"/>
  <c r="F17" i="10" s="1"/>
  <c r="D18" i="10"/>
  <c r="F18" i="10" s="1"/>
  <c r="D19" i="10"/>
  <c r="F19" i="10" s="1"/>
  <c r="D20" i="10"/>
  <c r="F20" i="10" s="1"/>
  <c r="D21" i="10"/>
  <c r="F21" i="10" s="1"/>
  <c r="D22" i="10"/>
  <c r="F22" i="10" s="1"/>
  <c r="D23" i="10"/>
  <c r="F23" i="10" s="1"/>
  <c r="D24" i="10"/>
  <c r="F24" i="10" s="1"/>
  <c r="D25" i="10"/>
  <c r="F25" i="10" s="1"/>
  <c r="D26" i="10"/>
  <c r="F26" i="10" s="1"/>
  <c r="D27" i="10"/>
  <c r="F27" i="10" s="1"/>
  <c r="D28" i="10"/>
  <c r="F28" i="10" s="1"/>
  <c r="D29" i="10"/>
  <c r="F29" i="10" s="1"/>
  <c r="D30" i="10"/>
  <c r="F30" i="10" s="1"/>
  <c r="D31" i="10"/>
  <c r="F31" i="10" s="1"/>
  <c r="D32" i="10"/>
  <c r="F32" i="10" s="1"/>
  <c r="D33" i="10"/>
  <c r="F33" i="10" s="1"/>
  <c r="D34" i="10"/>
  <c r="F34" i="10" s="1"/>
  <c r="D35" i="10"/>
  <c r="F35" i="10" s="1"/>
  <c r="D36" i="10"/>
  <c r="F36" i="10" s="1"/>
  <c r="D37" i="10"/>
  <c r="F37" i="10" s="1"/>
  <c r="D38" i="10"/>
  <c r="F38" i="10" s="1"/>
  <c r="D39" i="10"/>
  <c r="F39" i="10" s="1"/>
  <c r="D40" i="10"/>
  <c r="F40" i="10" s="1"/>
  <c r="D41" i="10"/>
  <c r="F41" i="10" s="1"/>
  <c r="D42" i="10"/>
  <c r="F42" i="10" s="1"/>
  <c r="D43" i="10"/>
  <c r="F43" i="10" s="1"/>
  <c r="D44" i="10"/>
  <c r="F44" i="10" s="1"/>
  <c r="D45" i="10"/>
  <c r="F45" i="10" s="1"/>
  <c r="D46" i="10"/>
  <c r="F46" i="10" s="1"/>
  <c r="D47" i="10"/>
  <c r="F47" i="10" s="1"/>
  <c r="D48" i="10"/>
  <c r="F48" i="10" s="1"/>
  <c r="D49" i="10"/>
  <c r="F49" i="10" s="1"/>
  <c r="D50" i="10"/>
  <c r="F50" i="10" s="1"/>
  <c r="D51" i="10"/>
  <c r="F51" i="10" s="1"/>
  <c r="D52" i="10"/>
  <c r="F52" i="10" s="1"/>
  <c r="D53" i="10"/>
  <c r="F53" i="10" s="1"/>
  <c r="D54" i="10"/>
  <c r="F54" i="10" s="1"/>
  <c r="D55" i="10"/>
  <c r="F55" i="10" s="1"/>
  <c r="D56" i="10"/>
  <c r="F56" i="10" s="1"/>
  <c r="D57" i="10"/>
  <c r="F57" i="10" s="1"/>
  <c r="D58" i="10"/>
  <c r="F58" i="10" s="1"/>
  <c r="D59" i="10"/>
  <c r="F59" i="10" s="1"/>
  <c r="D60" i="10"/>
  <c r="F60" i="10" s="1"/>
  <c r="D61" i="10"/>
  <c r="F61" i="10" s="1"/>
  <c r="D62" i="10"/>
  <c r="F62" i="10" s="1"/>
  <c r="D63" i="10"/>
  <c r="F63" i="10" s="1"/>
  <c r="D64" i="10"/>
  <c r="F64" i="10" s="1"/>
  <c r="D65" i="10"/>
  <c r="F65" i="10" s="1"/>
  <c r="D66" i="10"/>
  <c r="F66" i="10" s="1"/>
  <c r="D67" i="10"/>
  <c r="F67" i="10" s="1"/>
  <c r="D68" i="10"/>
  <c r="F68" i="10" s="1"/>
  <c r="D69" i="10"/>
  <c r="F69" i="10" s="1"/>
  <c r="D70" i="10"/>
  <c r="F70" i="10" s="1"/>
  <c r="D71" i="10"/>
  <c r="F71" i="10" s="1"/>
  <c r="D72" i="10"/>
  <c r="F72" i="10" s="1"/>
  <c r="D73" i="10"/>
  <c r="F73" i="10" s="1"/>
  <c r="D74" i="10"/>
  <c r="F74" i="10" s="1"/>
  <c r="D75" i="10"/>
  <c r="F75" i="10" s="1"/>
  <c r="D76" i="10"/>
  <c r="F76" i="10" s="1"/>
  <c r="D77" i="10"/>
  <c r="F77" i="10" s="1"/>
  <c r="D78" i="10"/>
  <c r="F78" i="10" s="1"/>
  <c r="D79" i="10"/>
  <c r="F79" i="10" s="1"/>
  <c r="D80" i="10"/>
  <c r="F80" i="10" s="1"/>
  <c r="D81" i="10"/>
  <c r="F81" i="10" s="1"/>
  <c r="D82" i="10"/>
  <c r="F82" i="10" s="1"/>
  <c r="D83" i="10"/>
  <c r="F83" i="10" s="1"/>
  <c r="D84" i="10"/>
  <c r="F84" i="10" s="1"/>
  <c r="D85" i="10"/>
  <c r="F85" i="10" s="1"/>
  <c r="D86" i="10"/>
  <c r="F86" i="10" s="1"/>
  <c r="D87" i="10"/>
  <c r="F87" i="10" s="1"/>
  <c r="D88" i="10"/>
  <c r="F88" i="10" s="1"/>
  <c r="D89" i="10"/>
  <c r="F89" i="10" s="1"/>
  <c r="D90" i="10"/>
  <c r="F90" i="10" s="1"/>
  <c r="D91" i="10"/>
  <c r="F91" i="10" s="1"/>
  <c r="D92" i="10"/>
  <c r="F92" i="10" s="1"/>
  <c r="D93" i="10"/>
  <c r="F93" i="10" s="1"/>
  <c r="D94" i="10"/>
  <c r="F94" i="10" s="1"/>
  <c r="D95" i="10"/>
  <c r="F95" i="10" s="1"/>
  <c r="D96" i="10"/>
  <c r="F96" i="10" s="1"/>
  <c r="D97" i="10"/>
  <c r="F97" i="10" s="1"/>
  <c r="D98" i="10"/>
  <c r="F98" i="10" s="1"/>
  <c r="D99" i="10"/>
  <c r="F99" i="10"/>
  <c r="D100" i="10"/>
  <c r="F100" i="10" s="1"/>
  <c r="D101" i="10"/>
  <c r="F101" i="10" s="1"/>
  <c r="D102" i="10"/>
  <c r="F102" i="10" s="1"/>
  <c r="D103" i="10"/>
  <c r="F103" i="10" s="1"/>
  <c r="D104" i="10"/>
  <c r="F104" i="10" s="1"/>
  <c r="D105" i="10"/>
  <c r="F105" i="10" s="1"/>
  <c r="D106" i="10"/>
  <c r="F106" i="10" s="1"/>
  <c r="D107" i="10"/>
  <c r="F107" i="10" s="1"/>
  <c r="D108" i="10"/>
  <c r="F108" i="10" s="1"/>
  <c r="D109" i="10"/>
  <c r="F109" i="10" s="1"/>
  <c r="D110" i="10"/>
  <c r="F110" i="10" s="1"/>
  <c r="D111" i="10"/>
  <c r="F111" i="10" s="1"/>
  <c r="D112" i="10"/>
  <c r="F112" i="10" s="1"/>
  <c r="D113" i="10"/>
  <c r="F113" i="10" s="1"/>
  <c r="D114" i="10"/>
  <c r="F114" i="10" s="1"/>
  <c r="D115" i="10"/>
  <c r="F115" i="10" s="1"/>
  <c r="D116" i="10"/>
  <c r="F116" i="10" s="1"/>
  <c r="D117" i="10"/>
  <c r="F117" i="10" s="1"/>
  <c r="D118" i="10"/>
  <c r="F118" i="10" s="1"/>
  <c r="D119" i="10"/>
  <c r="F119" i="10" s="1"/>
  <c r="D120" i="10"/>
  <c r="F120" i="10" s="1"/>
  <c r="D121" i="10"/>
  <c r="F121" i="10" s="1"/>
  <c r="D122" i="10"/>
  <c r="F122" i="10" s="1"/>
  <c r="D123" i="10"/>
  <c r="F123" i="10" s="1"/>
  <c r="D124" i="10"/>
  <c r="F124" i="10" s="1"/>
  <c r="D125" i="10"/>
  <c r="F125" i="10" s="1"/>
  <c r="D126" i="10"/>
  <c r="F126" i="10" s="1"/>
  <c r="D127" i="10"/>
  <c r="F127" i="10" s="1"/>
  <c r="D128" i="10"/>
  <c r="F128" i="10" s="1"/>
  <c r="D129" i="10"/>
  <c r="F129" i="10" s="1"/>
  <c r="D130" i="10"/>
  <c r="F130" i="10" s="1"/>
  <c r="D131" i="10"/>
  <c r="F131" i="10" s="1"/>
  <c r="D132" i="10"/>
  <c r="F132" i="10" s="1"/>
  <c r="D133" i="10"/>
  <c r="F133" i="10" s="1"/>
  <c r="D134" i="10"/>
  <c r="F134" i="10" s="1"/>
  <c r="D135" i="10"/>
  <c r="F135" i="10" s="1"/>
  <c r="D136" i="10"/>
  <c r="F136" i="10" s="1"/>
  <c r="D137" i="10"/>
  <c r="F137" i="10" s="1"/>
  <c r="D138" i="10"/>
  <c r="F138" i="10" s="1"/>
  <c r="D139" i="10"/>
  <c r="F139" i="10" s="1"/>
  <c r="D140" i="10"/>
  <c r="F140" i="10" s="1"/>
  <c r="D141" i="10"/>
  <c r="F141" i="10" s="1"/>
  <c r="D142" i="10"/>
  <c r="F142" i="10" s="1"/>
  <c r="D143" i="10"/>
  <c r="F143" i="10" s="1"/>
  <c r="D144" i="10"/>
  <c r="F144" i="10" s="1"/>
  <c r="D145" i="10"/>
  <c r="F145" i="10" s="1"/>
  <c r="D146" i="10"/>
  <c r="F146" i="10" s="1"/>
  <c r="D147" i="10"/>
  <c r="F147" i="10" s="1"/>
  <c r="D148" i="10"/>
  <c r="F148" i="10" s="1"/>
  <c r="D149" i="10"/>
  <c r="F149" i="10" s="1"/>
  <c r="D150" i="10"/>
  <c r="F150" i="10" s="1"/>
  <c r="D151" i="10"/>
  <c r="F151" i="10" s="1"/>
  <c r="D152" i="10"/>
  <c r="F152" i="10" s="1"/>
  <c r="D153" i="10"/>
  <c r="F153" i="10" s="1"/>
  <c r="D154" i="10"/>
  <c r="F154" i="10" s="1"/>
  <c r="D155" i="10"/>
  <c r="F155" i="10" s="1"/>
  <c r="D156" i="10"/>
  <c r="F156" i="10" s="1"/>
  <c r="D157" i="10"/>
  <c r="F157" i="10" s="1"/>
  <c r="D158" i="10"/>
  <c r="F158" i="10" s="1"/>
  <c r="D159" i="10"/>
  <c r="F159" i="10" s="1"/>
  <c r="D160" i="10"/>
  <c r="F160" i="10" s="1"/>
  <c r="D161" i="10"/>
  <c r="F161" i="10" s="1"/>
  <c r="D162" i="10"/>
  <c r="F162" i="10" s="1"/>
  <c r="D163" i="10"/>
  <c r="F163" i="10" s="1"/>
  <c r="D164" i="10"/>
  <c r="F164" i="10" s="1"/>
  <c r="D165" i="10"/>
  <c r="F165" i="10" s="1"/>
  <c r="D166" i="10"/>
  <c r="F166" i="10" s="1"/>
  <c r="D167" i="10"/>
  <c r="F167" i="10" s="1"/>
  <c r="D168" i="10"/>
  <c r="F168" i="10" s="1"/>
  <c r="D169" i="10"/>
  <c r="F169" i="10" s="1"/>
  <c r="D170" i="10"/>
  <c r="F170" i="10" s="1"/>
  <c r="D171" i="10"/>
  <c r="F171" i="10" s="1"/>
  <c r="D172" i="10"/>
  <c r="F172" i="10" s="1"/>
  <c r="D173" i="10"/>
  <c r="F173" i="10" s="1"/>
  <c r="D174" i="10"/>
  <c r="F174" i="10" s="1"/>
  <c r="D175" i="10"/>
  <c r="F175" i="10" s="1"/>
  <c r="D176" i="10"/>
  <c r="F176" i="10" s="1"/>
  <c r="D177" i="10"/>
  <c r="F177" i="10" s="1"/>
  <c r="D178" i="10"/>
  <c r="F178" i="10" s="1"/>
  <c r="D179" i="10"/>
  <c r="F179" i="10" s="1"/>
  <c r="D180" i="10"/>
  <c r="F180" i="10" s="1"/>
  <c r="D181" i="10"/>
  <c r="F181" i="10" s="1"/>
  <c r="D182" i="10"/>
  <c r="F182" i="10" s="1"/>
  <c r="D183" i="10"/>
  <c r="F183" i="10" s="1"/>
  <c r="D184" i="10"/>
  <c r="F184" i="10" s="1"/>
  <c r="D185" i="10"/>
  <c r="F185" i="10" s="1"/>
  <c r="D186" i="10"/>
  <c r="F186" i="10" s="1"/>
  <c r="D187" i="10"/>
  <c r="F187" i="10" s="1"/>
  <c r="D188" i="10"/>
  <c r="F188" i="10" s="1"/>
  <c r="D189" i="10"/>
  <c r="F189" i="10" s="1"/>
  <c r="D190" i="10"/>
  <c r="F190" i="10" s="1"/>
  <c r="D191" i="10"/>
  <c r="F191" i="10" s="1"/>
  <c r="D192" i="10"/>
  <c r="F192" i="10" s="1"/>
  <c r="D193" i="10"/>
  <c r="F193" i="10" s="1"/>
  <c r="D194" i="10"/>
  <c r="F194" i="10" s="1"/>
  <c r="D195" i="10"/>
  <c r="F195" i="10" s="1"/>
  <c r="D196" i="10"/>
  <c r="F196" i="10" s="1"/>
  <c r="D197" i="10"/>
  <c r="F197" i="10" s="1"/>
  <c r="D198" i="10"/>
  <c r="F198" i="10" s="1"/>
  <c r="D199" i="10"/>
  <c r="F199" i="10" s="1"/>
  <c r="D200" i="10"/>
  <c r="F200" i="10" s="1"/>
  <c r="D201" i="10"/>
  <c r="F201" i="10" s="1"/>
  <c r="D202" i="10"/>
  <c r="F202" i="10" s="1"/>
  <c r="D203" i="10"/>
  <c r="F203" i="10" s="1"/>
  <c r="D204" i="10"/>
  <c r="F204" i="10" s="1"/>
  <c r="D205" i="10"/>
  <c r="F205" i="10" s="1"/>
  <c r="D206" i="10"/>
  <c r="F206" i="10" s="1"/>
  <c r="D207" i="10"/>
  <c r="F207" i="10" s="1"/>
  <c r="D208" i="10"/>
  <c r="F208" i="10" s="1"/>
  <c r="D209" i="10"/>
  <c r="F209" i="10" s="1"/>
  <c r="D210" i="10"/>
  <c r="F210" i="10" s="1"/>
  <c r="D211" i="10"/>
  <c r="F211" i="10" s="1"/>
  <c r="D212" i="10"/>
  <c r="F212" i="10"/>
  <c r="D213" i="10"/>
  <c r="F213" i="10" s="1"/>
  <c r="D214" i="10"/>
  <c r="F214" i="10" s="1"/>
  <c r="D215" i="10"/>
  <c r="F215" i="10" s="1"/>
  <c r="D216" i="10"/>
  <c r="F216" i="10" s="1"/>
  <c r="D217" i="10"/>
  <c r="F217" i="10" s="1"/>
  <c r="D218" i="10"/>
  <c r="F218" i="10" s="1"/>
  <c r="D219" i="10"/>
  <c r="F219" i="10" s="1"/>
  <c r="D220" i="10"/>
  <c r="F220" i="10" s="1"/>
  <c r="D221" i="10"/>
  <c r="F221" i="10" s="1"/>
  <c r="D222" i="10"/>
  <c r="F222" i="10" s="1"/>
  <c r="D223" i="10"/>
  <c r="F223" i="10" s="1"/>
  <c r="D224" i="10"/>
  <c r="F224" i="10" s="1"/>
  <c r="D225" i="10"/>
  <c r="F225" i="10" s="1"/>
  <c r="D226" i="10"/>
  <c r="F226" i="10" s="1"/>
  <c r="D227" i="10"/>
  <c r="F227" i="10" s="1"/>
  <c r="D228" i="10"/>
  <c r="F228" i="10" s="1"/>
  <c r="D229" i="10"/>
  <c r="F229" i="10" s="1"/>
  <c r="D230" i="10"/>
  <c r="F230" i="10" s="1"/>
  <c r="D231" i="10"/>
  <c r="F231" i="10" s="1"/>
  <c r="D232" i="10"/>
  <c r="F232" i="10" s="1"/>
  <c r="D233" i="10"/>
  <c r="F233" i="10" s="1"/>
  <c r="D234" i="10"/>
  <c r="F234" i="10" s="1"/>
  <c r="D235" i="10"/>
  <c r="F235" i="10" s="1"/>
  <c r="D236" i="10"/>
  <c r="F236" i="10" s="1"/>
  <c r="D237" i="10"/>
  <c r="F237" i="10" s="1"/>
  <c r="D238" i="10"/>
  <c r="F238" i="10" s="1"/>
  <c r="D239" i="10"/>
  <c r="F239" i="10" s="1"/>
  <c r="D240" i="10"/>
  <c r="F240" i="10" s="1"/>
  <c r="D241" i="10"/>
  <c r="F241" i="10" s="1"/>
  <c r="D242" i="10"/>
  <c r="F242" i="10" s="1"/>
  <c r="D243" i="10"/>
  <c r="F243" i="10" s="1"/>
  <c r="D244" i="10"/>
  <c r="F244" i="10" s="1"/>
  <c r="D245" i="10"/>
  <c r="F245" i="10" s="1"/>
  <c r="D246" i="10"/>
  <c r="F246" i="10" s="1"/>
  <c r="D247" i="10"/>
  <c r="F247" i="10" s="1"/>
  <c r="D248" i="10"/>
  <c r="F248" i="10" s="1"/>
  <c r="D249" i="10"/>
  <c r="F249" i="10" s="1"/>
  <c r="D250" i="10"/>
  <c r="F250" i="10" s="1"/>
  <c r="D251" i="10"/>
  <c r="F251" i="10" s="1"/>
  <c r="D252" i="10"/>
  <c r="F252" i="10" s="1"/>
  <c r="D253" i="10"/>
  <c r="F253" i="10" s="1"/>
  <c r="D254" i="10"/>
  <c r="F254" i="10" s="1"/>
  <c r="D255" i="10"/>
  <c r="F255" i="10" s="1"/>
  <c r="D256" i="10"/>
  <c r="F256" i="10"/>
  <c r="D257" i="10"/>
  <c r="F257" i="10" s="1"/>
  <c r="D258" i="10"/>
  <c r="F258" i="10" s="1"/>
  <c r="D259" i="10"/>
  <c r="F259" i="10" s="1"/>
  <c r="D260" i="10"/>
  <c r="F260" i="10"/>
  <c r="G28" i="10" l="1"/>
  <c r="E29" i="10"/>
  <c r="E30" i="10" s="1"/>
  <c r="E31" i="10" s="1"/>
  <c r="E32" i="10" s="1"/>
  <c r="E33" i="10" s="1"/>
  <c r="E34" i="10" s="1"/>
  <c r="E35" i="10" s="1"/>
  <c r="E36" i="10" s="1"/>
  <c r="E37" i="10" s="1"/>
  <c r="E38" i="10" s="1"/>
  <c r="E39" i="10" s="1"/>
  <c r="E40" i="10" s="1"/>
  <c r="E41" i="10" s="1"/>
  <c r="E42" i="10" s="1"/>
  <c r="E43" i="10" s="1"/>
  <c r="E44" i="10" s="1"/>
  <c r="E45" i="10" s="1"/>
  <c r="E46" i="10" s="1"/>
  <c r="E47" i="10" s="1"/>
  <c r="E48" i="10" s="1"/>
  <c r="E49" i="10" s="1"/>
  <c r="E50" i="10" s="1"/>
  <c r="E51" i="10" s="1"/>
  <c r="E52" i="10" s="1"/>
  <c r="E53" i="10" s="1"/>
  <c r="E54" i="10" s="1"/>
  <c r="E55" i="10" s="1"/>
  <c r="E56" i="10" s="1"/>
  <c r="E57" i="10" s="1"/>
  <c r="E58" i="10" s="1"/>
  <c r="E59" i="10" s="1"/>
  <c r="E60" i="10" s="1"/>
  <c r="E61" i="10" s="1"/>
  <c r="E62" i="10" s="1"/>
  <c r="E63" i="10" s="1"/>
  <c r="E64" i="10" s="1"/>
  <c r="E65" i="10" s="1"/>
  <c r="E66" i="10" s="1"/>
  <c r="E67" i="10" s="1"/>
  <c r="E68" i="10" s="1"/>
  <c r="E69" i="10" s="1"/>
  <c r="E70" i="10" s="1"/>
  <c r="E71" i="10" s="1"/>
  <c r="E72" i="10" s="1"/>
  <c r="E73" i="10" s="1"/>
  <c r="E74" i="10" s="1"/>
  <c r="E75" i="10" s="1"/>
  <c r="E76" i="10" s="1"/>
  <c r="E77" i="10" s="1"/>
  <c r="E78" i="10" s="1"/>
  <c r="E79" i="10" s="1"/>
  <c r="E80" i="10" s="1"/>
  <c r="E81" i="10" s="1"/>
  <c r="E82" i="10" s="1"/>
  <c r="E83" i="10" s="1"/>
  <c r="E84" i="10" s="1"/>
  <c r="E85" i="10" s="1"/>
  <c r="E86" i="10" s="1"/>
  <c r="E87" i="10" s="1"/>
  <c r="E88" i="10" s="1"/>
  <c r="E89" i="10" s="1"/>
  <c r="E90" i="10" s="1"/>
  <c r="E91" i="10" s="1"/>
  <c r="E92" i="10" s="1"/>
  <c r="E93" i="10" s="1"/>
  <c r="E94" i="10" s="1"/>
  <c r="E95" i="10" s="1"/>
  <c r="E96" i="10" s="1"/>
  <c r="E97" i="10" s="1"/>
  <c r="E98" i="10" s="1"/>
  <c r="E99" i="10" s="1"/>
  <c r="E100" i="10" s="1"/>
  <c r="E101" i="10" s="1"/>
  <c r="E102" i="10" s="1"/>
  <c r="E103" i="10" s="1"/>
  <c r="E104" i="10" s="1"/>
  <c r="E105" i="10" s="1"/>
  <c r="E106" i="10" s="1"/>
  <c r="E107" i="10" s="1"/>
  <c r="E108" i="10" s="1"/>
  <c r="E109" i="10" s="1"/>
  <c r="E110" i="10" s="1"/>
  <c r="E111" i="10" s="1"/>
  <c r="E112" i="10" s="1"/>
  <c r="E113" i="10" s="1"/>
  <c r="E114" i="10" s="1"/>
  <c r="E115" i="10" s="1"/>
  <c r="E116" i="10" s="1"/>
  <c r="E117" i="10" s="1"/>
  <c r="E118" i="10" s="1"/>
  <c r="E119" i="10" s="1"/>
  <c r="E120" i="10" s="1"/>
  <c r="E121" i="10" s="1"/>
  <c r="E122" i="10" s="1"/>
  <c r="E123" i="10" s="1"/>
  <c r="E124" i="10" s="1"/>
  <c r="E125" i="10" s="1"/>
  <c r="E126" i="10" s="1"/>
  <c r="E127" i="10" s="1"/>
  <c r="E128" i="10" s="1"/>
  <c r="E129" i="10" s="1"/>
  <c r="E130" i="10" s="1"/>
  <c r="E131" i="10" s="1"/>
  <c r="E132" i="10" s="1"/>
  <c r="E133" i="10" s="1"/>
  <c r="E134" i="10" s="1"/>
  <c r="E135" i="10" s="1"/>
  <c r="E136" i="10" s="1"/>
  <c r="E137" i="10" s="1"/>
  <c r="E138" i="10" s="1"/>
  <c r="E139" i="10" s="1"/>
  <c r="E140" i="10" s="1"/>
  <c r="E141" i="10" s="1"/>
  <c r="E142" i="10" s="1"/>
  <c r="E143" i="10" s="1"/>
  <c r="E144" i="10" s="1"/>
  <c r="E145" i="10" s="1"/>
  <c r="E146" i="10" s="1"/>
  <c r="E147" i="10" s="1"/>
  <c r="E148" i="10" s="1"/>
  <c r="E149" i="10" s="1"/>
  <c r="E150" i="10" s="1"/>
  <c r="E151" i="10" s="1"/>
  <c r="E152" i="10" s="1"/>
  <c r="E153" i="10" s="1"/>
  <c r="E154" i="10" s="1"/>
  <c r="E155" i="10" s="1"/>
  <c r="E156" i="10" s="1"/>
  <c r="E157" i="10" s="1"/>
  <c r="E158" i="10" s="1"/>
  <c r="E159" i="10" s="1"/>
  <c r="E160" i="10" s="1"/>
  <c r="E161" i="10" s="1"/>
  <c r="E162" i="10" s="1"/>
  <c r="E163" i="10" s="1"/>
  <c r="E164" i="10" s="1"/>
  <c r="E165" i="10" s="1"/>
  <c r="E166" i="10" s="1"/>
  <c r="E167" i="10" s="1"/>
  <c r="E168" i="10" s="1"/>
  <c r="E169" i="10" s="1"/>
  <c r="E170" i="10" s="1"/>
  <c r="E171" i="10" s="1"/>
  <c r="E172" i="10" s="1"/>
  <c r="E173" i="10" s="1"/>
  <c r="E174" i="10" s="1"/>
  <c r="E175" i="10" s="1"/>
  <c r="E176" i="10" s="1"/>
  <c r="E177" i="10" s="1"/>
  <c r="E178" i="10" s="1"/>
  <c r="E179" i="10" s="1"/>
  <c r="E180" i="10" s="1"/>
  <c r="E181" i="10" s="1"/>
  <c r="E182" i="10" s="1"/>
  <c r="E183" i="10" s="1"/>
  <c r="E184" i="10" s="1"/>
  <c r="E185" i="10" s="1"/>
  <c r="E186" i="10" s="1"/>
  <c r="E187" i="10" s="1"/>
  <c r="E188" i="10" s="1"/>
  <c r="E189" i="10" s="1"/>
  <c r="E190" i="10" s="1"/>
  <c r="E191" i="10" s="1"/>
  <c r="E192" i="10" s="1"/>
  <c r="E193" i="10" s="1"/>
  <c r="E194" i="10" s="1"/>
  <c r="E195" i="10" s="1"/>
  <c r="E196" i="10" s="1"/>
  <c r="E197" i="10" s="1"/>
  <c r="E198" i="10" s="1"/>
  <c r="E199" i="10" s="1"/>
  <c r="E200" i="10" s="1"/>
  <c r="E201" i="10" s="1"/>
  <c r="E202" i="10" s="1"/>
  <c r="E203" i="10" s="1"/>
  <c r="E204" i="10" s="1"/>
  <c r="E205" i="10" s="1"/>
  <c r="E206" i="10" s="1"/>
  <c r="E207" i="10" s="1"/>
  <c r="E208" i="10" s="1"/>
  <c r="E209" i="10" s="1"/>
  <c r="E210" i="10" s="1"/>
  <c r="E211" i="10" s="1"/>
  <c r="E212" i="10" s="1"/>
  <c r="E213" i="10" s="1"/>
  <c r="E214" i="10" s="1"/>
  <c r="E215" i="10" s="1"/>
  <c r="E216" i="10" s="1"/>
  <c r="E217" i="10" s="1"/>
  <c r="E218" i="10" s="1"/>
  <c r="E219" i="10" s="1"/>
  <c r="E220" i="10" s="1"/>
  <c r="E221" i="10" s="1"/>
  <c r="E222" i="10" s="1"/>
  <c r="E223" i="10" s="1"/>
  <c r="E224" i="10" s="1"/>
  <c r="E225" i="10" s="1"/>
  <c r="E226" i="10" s="1"/>
  <c r="E227" i="10" s="1"/>
  <c r="E228" i="10" s="1"/>
  <c r="E229" i="10" s="1"/>
  <c r="E230" i="10" s="1"/>
  <c r="E231" i="10" s="1"/>
  <c r="E232" i="10" s="1"/>
  <c r="E233" i="10" s="1"/>
  <c r="E234" i="10" s="1"/>
  <c r="E235" i="10" s="1"/>
  <c r="E236" i="10" s="1"/>
  <c r="E237" i="10" s="1"/>
  <c r="E238" i="10" s="1"/>
  <c r="E239" i="10" s="1"/>
  <c r="E240" i="10" s="1"/>
  <c r="E241" i="10" s="1"/>
  <c r="E242" i="10" s="1"/>
  <c r="E243" i="10" s="1"/>
  <c r="E244" i="10" s="1"/>
  <c r="E245" i="10" s="1"/>
  <c r="E246" i="10" s="1"/>
  <c r="E247" i="10" s="1"/>
  <c r="E248" i="10" s="1"/>
  <c r="E249" i="10" s="1"/>
  <c r="E250" i="10" s="1"/>
  <c r="E251" i="10" s="1"/>
  <c r="E252" i="10" s="1"/>
  <c r="E253" i="10" s="1"/>
  <c r="E254" i="10" s="1"/>
  <c r="E255" i="10" s="1"/>
  <c r="E256" i="10" s="1"/>
  <c r="E257" i="10" s="1"/>
  <c r="E258" i="10" s="1"/>
  <c r="E259" i="10" s="1"/>
  <c r="E260" i="10" s="1"/>
  <c r="J20" i="3" l="1"/>
  <c r="K20" i="3"/>
  <c r="L20" i="3"/>
  <c r="M20" i="3"/>
  <c r="I20" i="3"/>
  <c r="J19" i="3"/>
  <c r="J21" i="3" s="1"/>
  <c r="J22" i="3" s="1"/>
  <c r="K19" i="3"/>
  <c r="K21" i="3" s="1"/>
  <c r="K23" i="3" s="1"/>
  <c r="L19" i="3"/>
  <c r="L21" i="3" s="1"/>
  <c r="L23" i="3" s="1"/>
  <c r="M19" i="3"/>
  <c r="M21" i="3" s="1"/>
  <c r="M23" i="3" s="1"/>
  <c r="I19" i="3"/>
  <c r="I21" i="3" s="1"/>
  <c r="I22" i="3" s="1"/>
  <c r="N22" i="3"/>
  <c r="N19" i="3"/>
  <c r="N21" i="3"/>
  <c r="N20" i="3"/>
  <c r="N23" i="3"/>
  <c r="I23" i="3" l="1"/>
  <c r="J23" i="3"/>
  <c r="M22" i="3"/>
  <c r="L22" i="3"/>
  <c r="K22" i="3"/>
  <c r="D37" i="3"/>
  <c r="D36" i="3"/>
  <c r="D33" i="3"/>
  <c r="D30" i="3"/>
  <c r="D31" i="3"/>
  <c r="D32" i="3"/>
  <c r="B29" i="3"/>
  <c r="D4" i="3"/>
  <c r="D5" i="3"/>
  <c r="D6" i="3"/>
  <c r="D7" i="3"/>
  <c r="D8" i="3"/>
  <c r="D9" i="3"/>
  <c r="D3" i="3"/>
  <c r="D10" i="3"/>
  <c r="C10" i="3"/>
  <c r="N8" i="8" l="1" a="1"/>
  <c r="N10" i="8" s="1"/>
  <c r="AE3" i="8" a="1"/>
  <c r="AE4" i="8" s="1"/>
  <c r="A29" i="8" a="1"/>
  <c r="B31" i="8" s="1"/>
  <c r="A24" i="8" a="1"/>
  <c r="C26" i="8" s="1"/>
  <c r="A19" i="8" a="1"/>
  <c r="C19" i="8" s="1"/>
  <c r="A8" i="8" a="1"/>
  <c r="B10" i="8" s="1"/>
  <c r="AF3" i="8"/>
  <c r="D24" i="8"/>
  <c r="K16" i="8"/>
  <c r="W4" i="8"/>
  <c r="K15" i="8"/>
  <c r="D29" i="8"/>
  <c r="D19" i="8"/>
  <c r="Q8" i="8"/>
  <c r="D8" i="8"/>
  <c r="J4" i="8"/>
  <c r="K14" i="8"/>
  <c r="O10" i="8" l="1"/>
  <c r="N8" i="8"/>
  <c r="P10" i="8"/>
  <c r="O8" i="8"/>
  <c r="P8" i="8"/>
  <c r="N9" i="8"/>
  <c r="O9" i="8"/>
  <c r="P9" i="8"/>
  <c r="AE3" i="8"/>
  <c r="B20" i="8"/>
  <c r="C24" i="8"/>
  <c r="A29" i="8"/>
  <c r="C31" i="8"/>
  <c r="C20" i="8"/>
  <c r="A25" i="8"/>
  <c r="B29" i="8"/>
  <c r="A20" i="8"/>
  <c r="B24" i="8"/>
  <c r="A21" i="8"/>
  <c r="B25" i="8"/>
  <c r="C29" i="8"/>
  <c r="B26" i="8"/>
  <c r="C30" i="8"/>
  <c r="B21" i="8"/>
  <c r="C25" i="8"/>
  <c r="A30" i="8"/>
  <c r="A19" i="8"/>
  <c r="C21" i="8"/>
  <c r="A26" i="8"/>
  <c r="B30" i="8"/>
  <c r="B19" i="8"/>
  <c r="A24" i="8"/>
  <c r="A31" i="8"/>
  <c r="A10" i="8"/>
  <c r="A8" i="8"/>
  <c r="C10" i="8"/>
  <c r="B8" i="8"/>
  <c r="C8" i="8"/>
  <c r="A9" i="8"/>
  <c r="B9" i="8"/>
  <c r="C9" i="8"/>
  <c r="N28" i="7"/>
  <c r="N32" i="7" s="1"/>
  <c r="P20" i="7"/>
  <c r="V20" i="7" s="1"/>
  <c r="P25" i="7" s="1"/>
  <c r="P19" i="7"/>
  <c r="V19" i="7" s="1"/>
  <c r="O25" i="7" s="1"/>
  <c r="O20" i="7"/>
  <c r="U20" i="7" s="1"/>
  <c r="P24" i="7" s="1"/>
  <c r="O19" i="7"/>
  <c r="U19" i="7" s="1"/>
  <c r="O24" i="7" s="1"/>
  <c r="N20" i="7"/>
  <c r="T20" i="7" s="1"/>
  <c r="P23" i="7" s="1"/>
  <c r="N19" i="7"/>
  <c r="T19" i="7" s="1"/>
  <c r="O23" i="7" s="1"/>
  <c r="P18" i="7"/>
  <c r="V18" i="7" s="1"/>
  <c r="N25" i="7" s="1"/>
  <c r="O18" i="7"/>
  <c r="U18" i="7" s="1"/>
  <c r="N24" i="7" s="1"/>
  <c r="N18" i="7"/>
  <c r="T18" i="7" s="1"/>
  <c r="N23" i="7" s="1"/>
  <c r="S11" i="7" a="1"/>
  <c r="U13" i="7" s="1"/>
  <c r="T7" i="7" a="1"/>
  <c r="U8" i="7" s="1"/>
  <c r="Q3" i="7" a="1"/>
  <c r="R3" i="7" s="1"/>
  <c r="E33" i="7"/>
  <c r="D29" i="7" a="1"/>
  <c r="E30" i="7" s="1"/>
  <c r="H25" i="7" a="1"/>
  <c r="H26" i="7" s="1"/>
  <c r="H21" i="7" a="1"/>
  <c r="I21" i="7" s="1"/>
  <c r="E17" i="7" a="1"/>
  <c r="E18" i="7" s="1"/>
  <c r="G12" i="7" a="1"/>
  <c r="H13" i="7" s="1"/>
  <c r="G8" i="7" a="1"/>
  <c r="G8" i="7" s="1"/>
  <c r="E5" i="7"/>
  <c r="D5" i="7"/>
  <c r="F5" i="7" s="1"/>
  <c r="C5" i="7"/>
  <c r="B5" i="7"/>
  <c r="F4" i="7"/>
  <c r="F3" i="7"/>
  <c r="I5" i="7"/>
  <c r="I3" i="7"/>
  <c r="J21" i="7"/>
  <c r="V11" i="7"/>
  <c r="J25" i="7"/>
  <c r="I4" i="7"/>
  <c r="I12" i="7"/>
  <c r="X4" i="7"/>
  <c r="F29" i="7"/>
  <c r="S3" i="7"/>
  <c r="I9" i="7"/>
  <c r="G17" i="7"/>
  <c r="X3" i="7"/>
  <c r="I8" i="7"/>
  <c r="F33" i="7"/>
  <c r="V7" i="7"/>
  <c r="H8" i="7" l="1"/>
  <c r="H3" i="7" a="1"/>
  <c r="H5" i="7" s="1"/>
  <c r="F18" i="7"/>
  <c r="W3" i="8"/>
  <c r="J3" i="8"/>
  <c r="J15" i="8"/>
  <c r="J16" i="8"/>
  <c r="J14" i="8"/>
  <c r="P31" i="7" a="1"/>
  <c r="S12" i="7"/>
  <c r="U11" i="7"/>
  <c r="U12" i="7"/>
  <c r="S13" i="7"/>
  <c r="T13" i="7"/>
  <c r="T11" i="7"/>
  <c r="T12" i="7"/>
  <c r="S11" i="7"/>
  <c r="T7" i="7"/>
  <c r="U7" i="7"/>
  <c r="T8" i="7"/>
  <c r="Q4" i="7"/>
  <c r="R4" i="7"/>
  <c r="Q3" i="7"/>
  <c r="V3" i="7" s="1" a="1"/>
  <c r="V4" i="7" s="1"/>
  <c r="D29" i="7"/>
  <c r="E29" i="7"/>
  <c r="D30" i="7"/>
  <c r="H22" i="7"/>
  <c r="I26" i="7"/>
  <c r="G9" i="7"/>
  <c r="E17" i="7"/>
  <c r="I22" i="7"/>
  <c r="H9" i="7"/>
  <c r="F17" i="7"/>
  <c r="H23" i="7"/>
  <c r="I23" i="7"/>
  <c r="H25" i="7"/>
  <c r="G12" i="7"/>
  <c r="G13" i="7"/>
  <c r="H21" i="7"/>
  <c r="I25" i="7"/>
  <c r="H12" i="7"/>
  <c r="W3" i="7" l="1"/>
  <c r="H4" i="7"/>
  <c r="V3" i="7"/>
  <c r="W4" i="7"/>
  <c r="H3" i="7"/>
  <c r="P33" i="7"/>
  <c r="Q31" i="7"/>
  <c r="Q33" i="7"/>
  <c r="R32" i="7"/>
  <c r="Q32" i="7"/>
  <c r="P32" i="7"/>
  <c r="R33" i="7"/>
  <c r="P31" i="7"/>
  <c r="R31" i="7"/>
  <c r="K4" i="6" l="1"/>
  <c r="K10" i="6"/>
  <c r="D21" i="6" a="1"/>
  <c r="D23" i="6" s="1"/>
  <c r="D16" i="6" a="1"/>
  <c r="D17" i="6" s="1"/>
  <c r="D12" i="6" a="1"/>
  <c r="D14" i="6" s="1"/>
  <c r="D7" i="6" a="1"/>
  <c r="D8" i="6" s="1"/>
  <c r="D3" i="6" a="1"/>
  <c r="D5" i="6" s="1"/>
  <c r="B3" i="5"/>
  <c r="Q3" i="5"/>
  <c r="B4" i="5"/>
  <c r="Q4" i="5"/>
  <c r="B5" i="5"/>
  <c r="Q5" i="5"/>
  <c r="B6" i="5"/>
  <c r="Q6" i="5"/>
  <c r="B7" i="5"/>
  <c r="Q7" i="5"/>
  <c r="B8" i="5"/>
  <c r="Q8" i="5"/>
  <c r="B9" i="5"/>
  <c r="Q9" i="5"/>
  <c r="B10" i="5"/>
  <c r="Q10" i="5"/>
  <c r="Q11" i="5"/>
  <c r="Q12" i="5"/>
  <c r="K16" i="3"/>
  <c r="I16" i="3"/>
  <c r="K15" i="3"/>
  <c r="I15" i="3"/>
  <c r="K14" i="3"/>
  <c r="I14" i="3"/>
  <c r="K11" i="3"/>
  <c r="I11" i="3"/>
  <c r="K10" i="3"/>
  <c r="I10" i="3"/>
  <c r="K9" i="3"/>
  <c r="I9" i="3"/>
  <c r="D29" i="3"/>
  <c r="C9" i="3"/>
  <c r="C8" i="3"/>
  <c r="C7" i="3"/>
  <c r="C6" i="3"/>
  <c r="C5" i="3"/>
  <c r="C4" i="3"/>
  <c r="C3" i="3"/>
  <c r="B26" i="3"/>
  <c r="B25" i="3"/>
  <c r="B24" i="3"/>
  <c r="B23" i="3"/>
  <c r="B22" i="3"/>
  <c r="B21" i="3"/>
  <c r="B18" i="3"/>
  <c r="B17" i="3"/>
  <c r="B16" i="3"/>
  <c r="B15" i="3"/>
  <c r="B14" i="3"/>
  <c r="B13" i="3"/>
  <c r="L5" i="2"/>
  <c r="O2" i="2"/>
  <c r="M2" i="2"/>
  <c r="L2" i="2"/>
  <c r="K2" i="2"/>
  <c r="C28" i="2"/>
  <c r="C25" i="2"/>
  <c r="C24" i="2"/>
  <c r="C26" i="2" s="1"/>
  <c r="C21" i="2"/>
  <c r="C20" i="2"/>
  <c r="C22" i="2" s="1"/>
  <c r="C17" i="2"/>
  <c r="H17" i="2" s="1"/>
  <c r="C16" i="2"/>
  <c r="C18" i="2" s="1"/>
  <c r="C14" i="2"/>
  <c r="C13" i="2"/>
  <c r="C11" i="2"/>
  <c r="E11" i="2" s="1"/>
  <c r="C10" i="2"/>
  <c r="E10" i="2" s="1"/>
  <c r="C9" i="2"/>
  <c r="E9" i="2" s="1"/>
  <c r="D5" i="2"/>
  <c r="D4" i="2"/>
  <c r="B3" i="2"/>
  <c r="B4" i="2"/>
  <c r="B5" i="2"/>
  <c r="B2" i="2"/>
  <c r="F11" i="2"/>
  <c r="D24" i="2"/>
  <c r="D25" i="2"/>
  <c r="J10" i="3"/>
  <c r="C18" i="3"/>
  <c r="F18" i="2"/>
  <c r="E18" i="6"/>
  <c r="J16" i="3"/>
  <c r="D17" i="2"/>
  <c r="L14" i="3"/>
  <c r="L9" i="3"/>
  <c r="E21" i="6"/>
  <c r="D21" i="2"/>
  <c r="C21" i="3"/>
  <c r="C14" i="3"/>
  <c r="F9" i="2"/>
  <c r="C15" i="3"/>
  <c r="D20" i="2"/>
  <c r="J15" i="3"/>
  <c r="D13" i="2"/>
  <c r="E13" i="6"/>
  <c r="E9" i="6"/>
  <c r="I17" i="2"/>
  <c r="E12" i="6"/>
  <c r="D22" i="2"/>
  <c r="E29" i="3"/>
  <c r="O6" i="2"/>
  <c r="L16" i="3"/>
  <c r="L10" i="3"/>
  <c r="E5" i="6"/>
  <c r="D28" i="2"/>
  <c r="L10" i="6"/>
  <c r="C26" i="3"/>
  <c r="C5" i="2"/>
  <c r="C2" i="2"/>
  <c r="C3" i="2"/>
  <c r="J14" i="3"/>
  <c r="F17" i="2"/>
  <c r="L3" i="2"/>
  <c r="E14" i="6"/>
  <c r="O3" i="2"/>
  <c r="E7" i="6"/>
  <c r="D10" i="2"/>
  <c r="J11" i="3"/>
  <c r="K3" i="2"/>
  <c r="D26" i="2"/>
  <c r="E22" i="6"/>
  <c r="D9" i="2"/>
  <c r="L11" i="3"/>
  <c r="C22" i="3"/>
  <c r="C16" i="3"/>
  <c r="C25" i="3"/>
  <c r="E23" i="6"/>
  <c r="E4" i="6"/>
  <c r="F10" i="2"/>
  <c r="M3" i="2"/>
  <c r="E8" i="6"/>
  <c r="I18" i="2"/>
  <c r="E17" i="6"/>
  <c r="D18" i="2"/>
  <c r="C4" i="2"/>
  <c r="D16" i="2"/>
  <c r="C17" i="3"/>
  <c r="D14" i="2"/>
  <c r="D11" i="2"/>
  <c r="I16" i="2"/>
  <c r="E16" i="6"/>
  <c r="E3" i="6"/>
  <c r="L15" i="3"/>
  <c r="E4" i="2"/>
  <c r="L4" i="6"/>
  <c r="J9" i="3"/>
  <c r="E5" i="2"/>
  <c r="C23" i="3"/>
  <c r="C24" i="3"/>
  <c r="C13" i="3"/>
  <c r="L6" i="2"/>
  <c r="F16" i="2"/>
  <c r="O5" i="2" l="1"/>
  <c r="D18" i="6"/>
  <c r="D7" i="6"/>
  <c r="D16" i="6"/>
  <c r="D9" i="6"/>
  <c r="D12" i="6"/>
  <c r="D4" i="6"/>
  <c r="D13" i="6"/>
  <c r="D22" i="6"/>
  <c r="D3" i="6"/>
  <c r="D21" i="6"/>
  <c r="E18" i="2"/>
  <c r="H18" i="2"/>
  <c r="E16" i="2"/>
  <c r="H16" i="2"/>
  <c r="E17" i="2"/>
  <c r="C29" i="3"/>
  <c r="K39" i="1" l="1"/>
  <c r="K38" i="1"/>
  <c r="J36" i="1"/>
  <c r="J35" i="1"/>
  <c r="J34" i="1"/>
  <c r="K33" i="1"/>
  <c r="J32" i="1"/>
  <c r="J31" i="1"/>
  <c r="J30" i="1"/>
  <c r="K23" i="1"/>
  <c r="K21" i="1"/>
  <c r="K22" i="1"/>
  <c r="K20" i="1"/>
  <c r="K27" i="1"/>
  <c r="K26" i="1"/>
  <c r="K25" i="1"/>
  <c r="J17" i="1"/>
  <c r="J16" i="1"/>
  <c r="I15" i="1"/>
  <c r="J15" i="1" s="1"/>
  <c r="J14" i="1"/>
  <c r="J13" i="1"/>
  <c r="J12" i="1"/>
  <c r="J11" i="1"/>
  <c r="J4" i="1"/>
  <c r="K4" i="1" s="1"/>
  <c r="J5" i="1"/>
  <c r="K5" i="1" s="1"/>
  <c r="J6" i="1"/>
  <c r="K6" i="1" s="1"/>
  <c r="J3" i="1"/>
  <c r="K3" i="1" s="1"/>
  <c r="A43" i="1"/>
  <c r="A40" i="1"/>
  <c r="D38" i="1"/>
  <c r="D37" i="1"/>
  <c r="D36" i="1"/>
  <c r="D35" i="1"/>
  <c r="B30" i="1"/>
  <c r="B25" i="1"/>
  <c r="A22" i="1"/>
  <c r="C15" i="1"/>
  <c r="D7" i="1"/>
  <c r="D3" i="1"/>
  <c r="D4" i="1"/>
  <c r="D5" i="1"/>
  <c r="D2" i="1"/>
  <c r="C13" i="1"/>
  <c r="C12" i="1"/>
  <c r="C11" i="1"/>
  <c r="C10" i="1"/>
  <c r="A6" i="1"/>
  <c r="E6" i="1"/>
  <c r="E35" i="1"/>
  <c r="L39" i="1"/>
  <c r="D10" i="1"/>
  <c r="B22" i="1"/>
  <c r="L23" i="1"/>
  <c r="E5" i="1"/>
  <c r="L38" i="1"/>
  <c r="L22" i="1"/>
  <c r="E37" i="1"/>
  <c r="E7" i="1"/>
  <c r="L27" i="1"/>
  <c r="D12" i="1"/>
  <c r="B43" i="1"/>
  <c r="K16" i="1"/>
  <c r="K11" i="1"/>
  <c r="K14" i="1"/>
  <c r="B40" i="1"/>
  <c r="K32" i="1"/>
  <c r="C30" i="1"/>
  <c r="L20" i="1"/>
  <c r="E3" i="1"/>
  <c r="K34" i="1"/>
  <c r="L21" i="1"/>
  <c r="K31" i="1"/>
  <c r="K35" i="1"/>
  <c r="D15" i="1"/>
  <c r="L33" i="1"/>
  <c r="D13" i="1"/>
  <c r="K36" i="1"/>
  <c r="D11" i="1"/>
  <c r="E36" i="1"/>
  <c r="K8" i="1"/>
  <c r="K30" i="1"/>
  <c r="K13" i="1"/>
  <c r="C25" i="1"/>
  <c r="L3" i="1"/>
  <c r="K15" i="1"/>
  <c r="L26" i="1"/>
  <c r="E4" i="1"/>
  <c r="E38" i="1"/>
  <c r="K17" i="1"/>
  <c r="D14" i="1"/>
  <c r="K12" i="1"/>
  <c r="B6" i="1"/>
  <c r="E2" i="1"/>
  <c r="J7" i="1"/>
  <c r="L25" i="1"/>
  <c r="D6" i="1" l="1"/>
  <c r="K7" i="1"/>
  <c r="C14" i="1"/>
</calcChain>
</file>

<file path=xl/sharedStrings.xml><?xml version="1.0" encoding="utf-8"?>
<sst xmlns="http://schemas.openxmlformats.org/spreadsheetml/2006/main" count="851" uniqueCount="798">
  <si>
    <t>x</t>
  </si>
  <si>
    <t>y</t>
  </si>
  <si>
    <t>a,b,c,d,e</t>
  </si>
  <si>
    <t>a,b</t>
  </si>
  <si>
    <t>b,c</t>
  </si>
  <si>
    <t>c,d</t>
  </si>
  <si>
    <t>d,e</t>
  </si>
  <si>
    <t>a,c</t>
  </si>
  <si>
    <t>b,d</t>
  </si>
  <si>
    <t>c,e</t>
  </si>
  <si>
    <t>a,d</t>
  </si>
  <si>
    <t>b,e</t>
  </si>
  <si>
    <t>a,e</t>
  </si>
  <si>
    <t>Circumference</t>
  </si>
  <si>
    <t>Diameter</t>
  </si>
  <si>
    <t>p</t>
  </si>
  <si>
    <t>e</t>
  </si>
  <si>
    <t>Formula</t>
  </si>
  <si>
    <t>etc.</t>
  </si>
  <si>
    <t>Logarithms</t>
  </si>
  <si>
    <t>2.1 Summation</t>
  </si>
  <si>
    <t>2.2 Product</t>
  </si>
  <si>
    <t>2.3 Factorial</t>
  </si>
  <si>
    <t>2.4 Binomial coefficient</t>
  </si>
  <si>
    <t>2.5 PI</t>
  </si>
  <si>
    <t>2.6 Interest</t>
  </si>
  <si>
    <t>2.7 Powers and exponents</t>
  </si>
  <si>
    <t>2.1 Summation 2 variables</t>
  </si>
  <si>
    <t>2.1 Sum from the mean</t>
  </si>
  <si>
    <t>Square roots</t>
  </si>
  <si>
    <t>5+2i</t>
  </si>
  <si>
    <t>i</t>
  </si>
  <si>
    <t>2.8 Complex numbers</t>
  </si>
  <si>
    <r>
      <rPr>
        <b/>
        <sz val="11"/>
        <color theme="1"/>
        <rFont val="Calibri"/>
        <family val="2"/>
        <scheme val="minor"/>
      </rPr>
      <t>2.9</t>
    </r>
    <r>
      <rPr>
        <b/>
        <sz val="11"/>
        <color theme="1"/>
        <rFont val="Symbol"/>
        <family val="1"/>
        <charset val="2"/>
      </rPr>
      <t xml:space="preserve"> p</t>
    </r>
    <r>
      <rPr>
        <b/>
        <sz val="11"/>
        <color theme="1"/>
        <rFont val="Calibri"/>
        <family val="2"/>
      </rPr>
      <t xml:space="preserve">, </t>
    </r>
    <r>
      <rPr>
        <b/>
        <i/>
        <sz val="11"/>
        <color theme="1"/>
        <rFont val="Calibri"/>
        <family val="2"/>
      </rPr>
      <t>e</t>
    </r>
    <r>
      <rPr>
        <b/>
        <sz val="11"/>
        <color theme="1"/>
        <rFont val="Calibri"/>
        <family val="2"/>
      </rPr>
      <t xml:space="preserve">, </t>
    </r>
    <r>
      <rPr>
        <b/>
        <i/>
        <sz val="11"/>
        <color theme="1"/>
        <rFont val="Calibri"/>
        <family val="2"/>
      </rPr>
      <t>i</t>
    </r>
  </si>
  <si>
    <t>Degrees</t>
  </si>
  <si>
    <t>Radians</t>
  </si>
  <si>
    <t>Radians (exact)</t>
  </si>
  <si>
    <t>p/6</t>
  </si>
  <si>
    <t>p/4</t>
  </si>
  <si>
    <t>p/3</t>
  </si>
  <si>
    <t>p/2</t>
  </si>
  <si>
    <t>3p/2</t>
  </si>
  <si>
    <t>2p</t>
  </si>
  <si>
    <r>
      <rPr>
        <b/>
        <sz val="11"/>
        <color theme="1"/>
        <rFont val="Symbol"/>
        <family val="1"/>
        <charset val="2"/>
      </rPr>
      <t>q</t>
    </r>
    <r>
      <rPr>
        <b/>
        <sz val="11"/>
        <color theme="1"/>
        <rFont val="Calibri"/>
        <family val="2"/>
      </rPr>
      <t xml:space="preserve"> in degrees</t>
    </r>
  </si>
  <si>
    <r>
      <t xml:space="preserve">sin </t>
    </r>
    <r>
      <rPr>
        <sz val="11"/>
        <color theme="1"/>
        <rFont val="Symbol"/>
        <family val="1"/>
        <charset val="2"/>
      </rPr>
      <t>q</t>
    </r>
  </si>
  <si>
    <t>1/2</t>
  </si>
  <si>
    <r>
      <rPr>
        <sz val="11"/>
        <color theme="1"/>
        <rFont val="Symbol"/>
        <family val="1"/>
        <charset val="2"/>
      </rPr>
      <t>Ö2</t>
    </r>
    <r>
      <rPr>
        <sz val="11"/>
        <color theme="1"/>
        <rFont val="Calibri"/>
        <family val="2"/>
      </rPr>
      <t>/2</t>
    </r>
  </si>
  <si>
    <r>
      <rPr>
        <sz val="11"/>
        <color theme="1"/>
        <rFont val="Symbol"/>
        <family val="1"/>
        <charset val="2"/>
      </rPr>
      <t>Ö</t>
    </r>
    <r>
      <rPr>
        <sz val="11"/>
        <color theme="1"/>
        <rFont val="Calibri"/>
        <family val="2"/>
      </rPr>
      <t>3/2</t>
    </r>
  </si>
  <si>
    <r>
      <t xml:space="preserve">cos </t>
    </r>
    <r>
      <rPr>
        <sz val="11"/>
        <color theme="1"/>
        <rFont val="Symbol"/>
        <family val="1"/>
        <charset val="2"/>
      </rPr>
      <t>q</t>
    </r>
  </si>
  <si>
    <r>
      <t>-</t>
    </r>
    <r>
      <rPr>
        <sz val="11"/>
        <color theme="1"/>
        <rFont val="Symbol"/>
        <family val="1"/>
        <charset val="2"/>
      </rPr>
      <t>Ö</t>
    </r>
    <r>
      <rPr>
        <sz val="11"/>
        <color theme="1"/>
        <rFont val="Calibri"/>
        <family val="1"/>
        <charset val="2"/>
      </rPr>
      <t>2/2</t>
    </r>
  </si>
  <si>
    <r>
      <t xml:space="preserve">tan </t>
    </r>
    <r>
      <rPr>
        <sz val="11"/>
        <color theme="1"/>
        <rFont val="Symbol"/>
        <family val="1"/>
        <charset val="2"/>
      </rPr>
      <t>q</t>
    </r>
  </si>
  <si>
    <r>
      <rPr>
        <sz val="11"/>
        <color theme="1"/>
        <rFont val="Symbol"/>
        <family val="1"/>
        <charset val="2"/>
      </rPr>
      <t>Ö</t>
    </r>
    <r>
      <rPr>
        <sz val="11"/>
        <color theme="1"/>
        <rFont val="Calibri"/>
        <family val="2"/>
      </rPr>
      <t>3/3</t>
    </r>
  </si>
  <si>
    <r>
      <rPr>
        <sz val="11"/>
        <color theme="1"/>
        <rFont val="Symbol"/>
        <family val="1"/>
        <charset val="2"/>
      </rPr>
      <t>Ö</t>
    </r>
    <r>
      <rPr>
        <sz val="11"/>
        <color theme="1"/>
        <rFont val="Calibri"/>
        <family val="2"/>
      </rPr>
      <t>3</t>
    </r>
  </si>
  <si>
    <t>-</t>
  </si>
  <si>
    <r>
      <t xml:space="preserve">cot </t>
    </r>
    <r>
      <rPr>
        <sz val="11"/>
        <color theme="1"/>
        <rFont val="Symbol"/>
        <family val="1"/>
        <charset val="2"/>
      </rPr>
      <t>q</t>
    </r>
  </si>
  <si>
    <t>Value</t>
  </si>
  <si>
    <t>Angle in degrees</t>
  </si>
  <si>
    <t>Angle in radians</t>
  </si>
  <si>
    <t>y=1+2x</t>
  </si>
  <si>
    <t>1/x</t>
  </si>
  <si>
    <t>2.11 Calculus</t>
  </si>
  <si>
    <t>2.10 Trigonometry</t>
  </si>
  <si>
    <t xml:space="preserve">Adding and subtracting vectors </t>
  </si>
  <si>
    <t>Multplying vectors</t>
  </si>
  <si>
    <t>Multiply with a scalar</t>
  </si>
  <si>
    <t>Scalar product</t>
  </si>
  <si>
    <t>Magnitude</t>
  </si>
  <si>
    <t>English</t>
  </si>
  <si>
    <t>Scottish</t>
  </si>
  <si>
    <t>Irish</t>
  </si>
  <si>
    <t>Welsh</t>
  </si>
  <si>
    <t>Total</t>
  </si>
  <si>
    <t>Men</t>
  </si>
  <si>
    <t>Women</t>
  </si>
  <si>
    <t>Adding and subtracting matrices</t>
  </si>
  <si>
    <t>{=A7:B8+D7:E8}</t>
  </si>
  <si>
    <t>Multiplying matrices</t>
  </si>
  <si>
    <t>Multiply matrix with a scalar</t>
  </si>
  <si>
    <t>Multiplying matrices 3x2 or 2x3</t>
  </si>
  <si>
    <t>Matrix</t>
  </si>
  <si>
    <t>Transposing matrices</t>
  </si>
  <si>
    <t>Determinants</t>
  </si>
  <si>
    <t>Inverse matrix</t>
  </si>
  <si>
    <t>Multiply matrix with its inverse</t>
  </si>
  <si>
    <t>Divide matrices</t>
  </si>
  <si>
    <t>Manual way to calculate the inverse</t>
  </si>
  <si>
    <t>Detrminants of minors</t>
  </si>
  <si>
    <t>Change the sign</t>
  </si>
  <si>
    <t>Cofactor of A</t>
  </si>
  <si>
    <t>+</t>
  </si>
  <si>
    <t>Matrix A</t>
  </si>
  <si>
    <t>Inverse of A using Excel</t>
  </si>
  <si>
    <t>Adjoint of A</t>
  </si>
  <si>
    <t>Determinant of A</t>
  </si>
  <si>
    <t>Inverse matrix of A</t>
  </si>
  <si>
    <t>Same as S11:U13</t>
  </si>
  <si>
    <t>2.13 Matrices</t>
  </si>
  <si>
    <t>2.12 Vectors</t>
  </si>
  <si>
    <t>Matrix I</t>
  </si>
  <si>
    <r>
      <t xml:space="preserve">Lambda </t>
    </r>
    <r>
      <rPr>
        <sz val="11"/>
        <color theme="1"/>
        <rFont val="Symbol"/>
        <family val="1"/>
        <charset val="2"/>
      </rPr>
      <t>l</t>
    </r>
  </si>
  <si>
    <r>
      <t>Det of A-I</t>
    </r>
    <r>
      <rPr>
        <sz val="11"/>
        <color theme="1"/>
        <rFont val="Symbol"/>
        <family val="1"/>
        <charset val="2"/>
      </rPr>
      <t>l</t>
    </r>
  </si>
  <si>
    <r>
      <t>Matrix A-I</t>
    </r>
    <r>
      <rPr>
        <sz val="11"/>
        <color theme="1"/>
        <rFont val="Symbol"/>
        <family val="1"/>
        <charset val="2"/>
      </rPr>
      <t>l</t>
    </r>
  </si>
  <si>
    <t>Vector a</t>
  </si>
  <si>
    <t>Result</t>
  </si>
  <si>
    <t>Same as cells A2:J5, but with new value of lambda after Goal Seek.</t>
  </si>
  <si>
    <r>
      <rPr>
        <b/>
        <sz val="11"/>
        <color theme="1"/>
        <rFont val="Symbol"/>
        <family val="1"/>
        <charset val="2"/>
      </rPr>
      <t>q</t>
    </r>
    <r>
      <rPr>
        <b/>
        <sz val="11"/>
        <color theme="1"/>
        <rFont val="Calibri"/>
        <family val="2"/>
      </rPr>
      <t xml:space="preserve"> in radians</t>
    </r>
  </si>
  <si>
    <r>
      <rPr>
        <b/>
        <sz val="11"/>
        <color theme="1"/>
        <rFont val="Symbol"/>
        <family val="1"/>
        <charset val="2"/>
      </rPr>
      <t>p</t>
    </r>
    <r>
      <rPr>
        <b/>
        <sz val="11"/>
        <color theme="1"/>
        <rFont val="Calibri"/>
        <family val="2"/>
      </rPr>
      <t>/6</t>
    </r>
  </si>
  <si>
    <r>
      <rPr>
        <b/>
        <sz val="11"/>
        <color theme="1"/>
        <rFont val="Symbol"/>
        <family val="1"/>
        <charset val="2"/>
      </rPr>
      <t>p</t>
    </r>
    <r>
      <rPr>
        <b/>
        <sz val="11"/>
        <color theme="1"/>
        <rFont val="Calibri"/>
        <family val="2"/>
      </rPr>
      <t>/4</t>
    </r>
  </si>
  <si>
    <r>
      <rPr>
        <b/>
        <sz val="11"/>
        <color theme="1"/>
        <rFont val="Symbol"/>
        <family val="1"/>
        <charset val="2"/>
      </rPr>
      <t>p</t>
    </r>
    <r>
      <rPr>
        <b/>
        <sz val="11"/>
        <color theme="1"/>
        <rFont val="Calibri"/>
        <family val="2"/>
      </rPr>
      <t>/3</t>
    </r>
  </si>
  <si>
    <r>
      <rPr>
        <b/>
        <sz val="11"/>
        <color theme="1"/>
        <rFont val="Symbol"/>
        <family val="1"/>
        <charset val="2"/>
      </rPr>
      <t>p</t>
    </r>
    <r>
      <rPr>
        <b/>
        <sz val="11"/>
        <color theme="1"/>
        <rFont val="Calibri"/>
        <family val="2"/>
      </rPr>
      <t>/2</t>
    </r>
  </si>
  <si>
    <r>
      <rPr>
        <b/>
        <sz val="11"/>
        <color theme="1"/>
        <rFont val="Symbol"/>
        <family val="1"/>
        <charset val="2"/>
      </rPr>
      <t>3p</t>
    </r>
    <r>
      <rPr>
        <b/>
        <sz val="11"/>
        <color theme="1"/>
        <rFont val="Calibri"/>
        <family val="2"/>
      </rPr>
      <t>/4</t>
    </r>
  </si>
  <si>
    <r>
      <rPr>
        <b/>
        <sz val="11"/>
        <color theme="1"/>
        <rFont val="Symbol"/>
        <family val="1"/>
        <charset val="2"/>
      </rPr>
      <t>3p</t>
    </r>
    <r>
      <rPr>
        <b/>
        <sz val="11"/>
        <color theme="1"/>
        <rFont val="Calibri"/>
        <family val="2"/>
      </rPr>
      <t>/2</t>
    </r>
  </si>
  <si>
    <t xml:space="preserve">          Radians (approx.)</t>
  </si>
  <si>
    <t>Sine</t>
  </si>
  <si>
    <t>Result from radians</t>
  </si>
  <si>
    <t>Result from degrees</t>
  </si>
  <si>
    <t>Result to radians</t>
  </si>
  <si>
    <t>Result to degrees</t>
  </si>
  <si>
    <t>Sin from degrees</t>
  </si>
  <si>
    <t>Sin from radians</t>
  </si>
  <si>
    <t>Angle in radians from sin</t>
  </si>
  <si>
    <t>Angle in degrees from sin</t>
  </si>
  <si>
    <t>2.14 Eigenvectors and eigenvalues</t>
  </si>
  <si>
    <t>Time series</t>
  </si>
  <si>
    <t>Fourier transforms</t>
  </si>
  <si>
    <t>Original series</t>
  </si>
  <si>
    <t>3.91330499847005</t>
  </si>
  <si>
    <t>0.536798864401462</t>
  </si>
  <si>
    <t>1.16260751111195-0.380353337734352i</t>
  </si>
  <si>
    <t>1.01982762642818</t>
  </si>
  <si>
    <t>-8.2503737605037E-002-0.258760100288082i</t>
  </si>
  <si>
    <t>0.553405846748109</t>
  </si>
  <si>
    <t>-0.885364484196509-0.201689856642391i</t>
  </si>
  <si>
    <t>0.166380133502761</t>
  </si>
  <si>
    <t>-8.39266187916565E-003</t>
  </si>
  <si>
    <t>0.398177350943741</t>
  </si>
  <si>
    <t>-0.885364484196509+0.201689856642393i</t>
  </si>
  <si>
    <t>8.99768388031646E-002</t>
  </si>
  <si>
    <t>-8.25037376050366E-002+0.258760100288082i</t>
  </si>
  <si>
    <t>0.46407410620213</t>
  </si>
  <si>
    <t>1.16260751111195+0.38035333773435i</t>
  </si>
  <si>
    <t>0.684664231440501</t>
  </si>
  <si>
    <t>980.741382421415-1444.43907199972i</t>
  </si>
  <si>
    <t>2016</t>
  </si>
  <si>
    <t>-488.014150390886-1779.88448838923i</t>
  </si>
  <si>
    <t>2015</t>
  </si>
  <si>
    <t>1276.61982356041+2449.93097274913i</t>
  </si>
  <si>
    <t>2014</t>
  </si>
  <si>
    <t>-903.554433703606+1620.40113452271i</t>
  </si>
  <si>
    <t>2013</t>
  </si>
  <si>
    <t>-1715.59132676931+136.905024266545i</t>
  </si>
  <si>
    <t>2012</t>
  </si>
  <si>
    <t>-1295.39839487652+11.9138925316954i</t>
  </si>
  <si>
    <t>2011</t>
  </si>
  <si>
    <t>136.845294389014+425.06977732873i</t>
  </si>
  <si>
    <t>2010</t>
  </si>
  <si>
    <t>272.769983643396+346.162089311836i</t>
  </si>
  <si>
    <t>2009</t>
  </si>
  <si>
    <t>141.73612294781-862.281736335535i</t>
  </si>
  <si>
    <t>2008</t>
  </si>
  <si>
    <t>609.670660100116+318.844789167037i</t>
  </si>
  <si>
    <t>2007</t>
  </si>
  <si>
    <t>-269.829115049291+219.020001989164i</t>
  </si>
  <si>
    <t>2006</t>
  </si>
  <si>
    <t>159.861683318868+1377.70479015406i</t>
  </si>
  <si>
    <t>2005</t>
  </si>
  <si>
    <t>-21.1172026795124+294.123405859694i</t>
  </si>
  <si>
    <t>2004</t>
  </si>
  <si>
    <t>468.825382157939-385.178628395364i</t>
  </si>
  <si>
    <t>2003</t>
  </si>
  <si>
    <t>-447.923193567538+100.145338936119i</t>
  </si>
  <si>
    <t>2002</t>
  </si>
  <si>
    <t>173.03362548105-528.738860408387i</t>
  </si>
  <si>
    <t>2001</t>
  </si>
  <si>
    <t>1036.31477662456-1067.77370380458i</t>
  </si>
  <si>
    <t>2000</t>
  </si>
  <si>
    <t>1353.89202975394-46.1637016725909i</t>
  </si>
  <si>
    <t>1999</t>
  </si>
  <si>
    <t>607.6686924112+91.5117114651563i</t>
  </si>
  <si>
    <t>1998</t>
  </si>
  <si>
    <t>-378.075939214968+334.779602000548i</t>
  </si>
  <si>
    <t>1997</t>
  </si>
  <si>
    <t>989.051354958009+578.683405773648i</t>
  </si>
  <si>
    <t>1996</t>
  </si>
  <si>
    <t>-2614.28895239256-1868.60594960634i</t>
  </si>
  <si>
    <t>1995</t>
  </si>
  <si>
    <t>2016.08814145035-4888.96224702693i</t>
  </si>
  <si>
    <t>1994</t>
  </si>
  <si>
    <t>-4946.74768343029+79.7247168776698i</t>
  </si>
  <si>
    <t>1993</t>
  </si>
  <si>
    <t>-2059.67214032392+1345.78497036808i</t>
  </si>
  <si>
    <t>1992</t>
  </si>
  <si>
    <t>2749.55986032386-229.138185136716i</t>
  </si>
  <si>
    <t>1991</t>
  </si>
  <si>
    <t>972.008816221856-827.491151176583i</t>
  </si>
  <si>
    <t>1990</t>
  </si>
  <si>
    <t>780.080446859464+840.983917311213i</t>
  </si>
  <si>
    <t>1989</t>
  </si>
  <si>
    <t>1753.25360213298-19.5376118013347i</t>
  </si>
  <si>
    <t>1988</t>
  </si>
  <si>
    <t>1917.74532552566-59.8938352713253i</t>
  </si>
  <si>
    <t>1987</t>
  </si>
  <si>
    <t>755.666092593673+653.582598110781i</t>
  </si>
  <si>
    <t>1986</t>
  </si>
  <si>
    <t>-1148.30998487723+582.738253559303i</t>
  </si>
  <si>
    <t>1985</t>
  </si>
  <si>
    <t>39.2792971051208+979.799631592038i</t>
  </si>
  <si>
    <t>1984</t>
  </si>
  <si>
    <t>-345.653737774048+1007.72615857384i</t>
  </si>
  <si>
    <t>1983</t>
  </si>
  <si>
    <t>-284.98076155307+298.830257402426i</t>
  </si>
  <si>
    <t>1982</t>
  </si>
  <si>
    <t>-506.14299572835-333.407092730612i</t>
  </si>
  <si>
    <t>1981</t>
  </si>
  <si>
    <t>150.709181634535-95.6277415922007i</t>
  </si>
  <si>
    <t>1980</t>
  </si>
  <si>
    <t>-185.052148754831+552.975377818904i</t>
  </si>
  <si>
    <t>1979</t>
  </si>
  <si>
    <t>7.01772938751876-92.660951730821i</t>
  </si>
  <si>
    <t>1978</t>
  </si>
  <si>
    <t>-271.216037997862+172.738712980038i</t>
  </si>
  <si>
    <t>1977</t>
  </si>
  <si>
    <t>129.660346405955+211.794438017828i</t>
  </si>
  <si>
    <t>1976</t>
  </si>
  <si>
    <t>141.877805863911+454.095456413652i</t>
  </si>
  <si>
    <t>1975</t>
  </si>
  <si>
    <t>-427.117326581591+293.925922524019i</t>
  </si>
  <si>
    <t>1974</t>
  </si>
  <si>
    <t>284.951937557608-577.937822092781i</t>
  </si>
  <si>
    <t>1973</t>
  </si>
  <si>
    <t>-81.4117972636525+967.811920121i</t>
  </si>
  <si>
    <t>1972</t>
  </si>
  <si>
    <t>-205.306598908214-27.1133127489555i</t>
  </si>
  <si>
    <t>1971</t>
  </si>
  <si>
    <t>1173.41247725343+372.401499249175i</t>
  </si>
  <si>
    <t>1970</t>
  </si>
  <si>
    <t>484.618299916709+85.0015221122115i</t>
  </si>
  <si>
    <t>1969</t>
  </si>
  <si>
    <t>-329.805956498569-328.22349023783i</t>
  </si>
  <si>
    <t>1968</t>
  </si>
  <si>
    <t>-370.138111062893+432.383339313297i</t>
  </si>
  <si>
    <t>1967</t>
  </si>
  <si>
    <t>62.1429745129345+446.72398629492i</t>
  </si>
  <si>
    <t>1966</t>
  </si>
  <si>
    <t>-149.791332631783+69.8689393395062i</t>
  </si>
  <si>
    <t>1965</t>
  </si>
  <si>
    <t>-778.343402383749+127.652158805815i</t>
  </si>
  <si>
    <t>1964</t>
  </si>
  <si>
    <t>57.2437307167624+6.48197152329035i</t>
  </si>
  <si>
    <t>1963</t>
  </si>
  <si>
    <t>37.8339108038558-208.148116632269i</t>
  </si>
  <si>
    <t>1962</t>
  </si>
  <si>
    <t>-32.7747868228097-469.159826742445i</t>
  </si>
  <si>
    <t>1961</t>
  </si>
  <si>
    <t>38.2178971583307-331.141181976718i</t>
  </si>
  <si>
    <t>1960</t>
  </si>
  <si>
    <t>198.459584524928-135.526633803016i</t>
  </si>
  <si>
    <t>1959</t>
  </si>
  <si>
    <t>287.522083470172-41.9257444681736i</t>
  </si>
  <si>
    <t>1958</t>
  </si>
  <si>
    <t>86.6005697378501+62.2482674793682i</t>
  </si>
  <si>
    <t>1957</t>
  </si>
  <si>
    <t>351.240513229939+119.846427904457i</t>
  </si>
  <si>
    <t>1956</t>
  </si>
  <si>
    <t>315.949651157558+152.951143105794i</t>
  </si>
  <si>
    <t>1955</t>
  </si>
  <si>
    <t>-165.854598842776+259.73166771408i</t>
  </si>
  <si>
    <t>1954</t>
  </si>
  <si>
    <t>257.5+23.6000000000004i</t>
  </si>
  <si>
    <t>1953</t>
  </si>
  <si>
    <t>-73.4607920053164+349.521052385099i</t>
  </si>
  <si>
    <t>1952</t>
  </si>
  <si>
    <t>-41.6153301057898+364.008075048543i</t>
  </si>
  <si>
    <t>1951</t>
  </si>
  <si>
    <t>-23.2398926443392+23.0040861580946i</t>
  </si>
  <si>
    <t>1950</t>
  </si>
  <si>
    <t>113.471105406366-101.039834908593i</t>
  </si>
  <si>
    <t>1949</t>
  </si>
  <si>
    <t>-165.500026027776+163.622387103794i</t>
  </si>
  <si>
    <t>1948</t>
  </si>
  <si>
    <t>79.109562219901-182.23222874592i</t>
  </si>
  <si>
    <t>1947</t>
  </si>
  <si>
    <t>198.281165727114+322.713149196077i</t>
  </si>
  <si>
    <t>1946</t>
  </si>
  <si>
    <t>143.447397688692+27.542055341526i</t>
  </si>
  <si>
    <t>1945</t>
  </si>
  <si>
    <t>171.69792021824-174.722801075871i</t>
  </si>
  <si>
    <t>1944</t>
  </si>
  <si>
    <t>-89.1038507560168-137.627249937997i</t>
  </si>
  <si>
    <t>1943</t>
  </si>
  <si>
    <t>255.378881205546+150.099385104255i</t>
  </si>
  <si>
    <t>1942</t>
  </si>
  <si>
    <t>142.045465146786+42.9435659157567i</t>
  </si>
  <si>
    <t>1941</t>
  </si>
  <si>
    <t>30.1569552505829+57.8664107450454i</t>
  </si>
  <si>
    <t>1940</t>
  </si>
  <si>
    <t>12.1347021755533+178.855254575807i</t>
  </si>
  <si>
    <t>1939</t>
  </si>
  <si>
    <t>182.227093333558+398.510625141247i</t>
  </si>
  <si>
    <t>1938</t>
  </si>
  <si>
    <t>383.526468705214+302.68253890756i</t>
  </si>
  <si>
    <t>1937</t>
  </si>
  <si>
    <t>202.836985916485-31.2928012900191i</t>
  </si>
  <si>
    <t>1936</t>
  </si>
  <si>
    <t>184.435648300254+85.3599796649579i</t>
  </si>
  <si>
    <t>1935</t>
  </si>
  <si>
    <t>-100.946932293048+179.644954105327i</t>
  </si>
  <si>
    <t>1934</t>
  </si>
  <si>
    <t>7.08141203553723-36.0702445935119i</t>
  </si>
  <si>
    <t>1933</t>
  </si>
  <si>
    <t>28.9992467490401+48.3951575656282i</t>
  </si>
  <si>
    <t>1932</t>
  </si>
  <si>
    <t>2.89227893889111+61.2274311903996i</t>
  </si>
  <si>
    <t>1931</t>
  </si>
  <si>
    <t>86.3534379452994-93.9796079010007i</t>
  </si>
  <si>
    <t>1930</t>
  </si>
  <si>
    <t>229.857659151911-166.0261715737i</t>
  </si>
  <si>
    <t>1929</t>
  </si>
  <si>
    <t>207.48182820442+46.2185056271901i</t>
  </si>
  <si>
    <t>1928</t>
  </si>
  <si>
    <t>213.087364860882-51.7595636152875i</t>
  </si>
  <si>
    <t>1927</t>
  </si>
  <si>
    <t>142.778339230942-165.565312018476i</t>
  </si>
  <si>
    <t>1926</t>
  </si>
  <si>
    <t>254.008259167423+187.070945896512i</t>
  </si>
  <si>
    <t>1925</t>
  </si>
  <si>
    <t>127.720243899592-100.726721417708i</t>
  </si>
  <si>
    <t>1924</t>
  </si>
  <si>
    <t>162.791042536781-27.5584373753333i</t>
  </si>
  <si>
    <t>1923</t>
  </si>
  <si>
    <t>7.66410544463849+66.6142672646716i</t>
  </si>
  <si>
    <t>1922</t>
  </si>
  <si>
    <t>-83.6900151227667+45.7382535593015i</t>
  </si>
  <si>
    <t>1921</t>
  </si>
  <si>
    <t>94.9484255010552+196.257375644359i</t>
  </si>
  <si>
    <t>1920</t>
  </si>
  <si>
    <t>141.384804392928-80.1000465779977i</t>
  </si>
  <si>
    <t>1919</t>
  </si>
  <si>
    <t>80.7628383056241+10.0932356979043i</t>
  </si>
  <si>
    <t>1918</t>
  </si>
  <si>
    <t>67.1494137163282+111.610039059589i</t>
  </si>
  <si>
    <t>1917</t>
  </si>
  <si>
    <t>217.536121119573-36.6231454489542i</t>
  </si>
  <si>
    <t>1916</t>
  </si>
  <si>
    <t>158.085544882478+82.4902349181758i</t>
  </si>
  <si>
    <t>1915</t>
  </si>
  <si>
    <t>36.6283665627429-181.283182913986i</t>
  </si>
  <si>
    <t>1914</t>
  </si>
  <si>
    <t>-111.2680754172+99.17867811197i</t>
  </si>
  <si>
    <t>1913</t>
  </si>
  <si>
    <t>30.1763047841271+64.8603947362485i</t>
  </si>
  <si>
    <t>1912</t>
  </si>
  <si>
    <t>-116.101064285052+5.04615108520693i</t>
  </si>
  <si>
    <t>1911</t>
  </si>
  <si>
    <t>9.14432623502779+103.53156340883i</t>
  </si>
  <si>
    <t>1910</t>
  </si>
  <si>
    <t>243.293195818107-24.7803218214184i</t>
  </si>
  <si>
    <t>1909</t>
  </si>
  <si>
    <t>84.575005252673+24.7867028486827i</t>
  </si>
  <si>
    <t>1908</t>
  </si>
  <si>
    <t>83.7954861560579-255.664303119999i</t>
  </si>
  <si>
    <t>1907</t>
  </si>
  <si>
    <t>-255.592114776639-44.0988154008362i</t>
  </si>
  <si>
    <t>1906</t>
  </si>
  <si>
    <t>-69.9783941029738+53.7421563869615i</t>
  </si>
  <si>
    <t>1905</t>
  </si>
  <si>
    <t>69.252830563318-50.9036199684709i</t>
  </si>
  <si>
    <t>1904</t>
  </si>
  <si>
    <t>-48.6347364591204-109.728765418437i</t>
  </si>
  <si>
    <t>1903</t>
  </si>
  <si>
    <t>72.0806132946843+34.9564804076267i</t>
  </si>
  <si>
    <t>1902</t>
  </si>
  <si>
    <t>12.0009370276406+103.145537763061i</t>
  </si>
  <si>
    <t>1901</t>
  </si>
  <si>
    <t>141.066398351363-43.5502555331892i</t>
  </si>
  <si>
    <t>1900</t>
  </si>
  <si>
    <t>232.148596495952+131.112087772785i</t>
  </si>
  <si>
    <t>1899</t>
  </si>
  <si>
    <t>84.5448761291082-80.7743746649515i</t>
  </si>
  <si>
    <t>1898</t>
  </si>
  <si>
    <t>235.131543184173+193.882817183853i</t>
  </si>
  <si>
    <t>1897</t>
  </si>
  <si>
    <t>-0.573603092248575-219.259098218569i</t>
  </si>
  <si>
    <t>1896</t>
  </si>
  <si>
    <t>41.2803043220124-67.5314278591975i</t>
  </si>
  <si>
    <t>1895</t>
  </si>
  <si>
    <t>2.3115366789018+171.772840391973i</t>
  </si>
  <si>
    <t>1894</t>
  </si>
  <si>
    <t>46.2202754867417-92.5452623900213i</t>
  </si>
  <si>
    <t>1893</t>
  </si>
  <si>
    <t>205.683973263929+172.559187451425i</t>
  </si>
  <si>
    <t>1892</t>
  </si>
  <si>
    <t>44.5377103595552-188.156811317542i</t>
  </si>
  <si>
    <t>1891</t>
  </si>
  <si>
    <t>-13.1581474883199+115.060759410187i</t>
  </si>
  <si>
    <t>1890</t>
  </si>
  <si>
    <t>57.3000000000011</t>
  </si>
  <si>
    <t>1889</t>
  </si>
  <si>
    <t>-13.1581474883194-115.060759410186i</t>
  </si>
  <si>
    <t>1888</t>
  </si>
  <si>
    <t>44.5377103595577+188.156811317543i</t>
  </si>
  <si>
    <t>1887</t>
  </si>
  <si>
    <t>205.683973263926-172.559187451424i</t>
  </si>
  <si>
    <t>1886</t>
  </si>
  <si>
    <t>46.2202754867413+92.54526239002i</t>
  </si>
  <si>
    <t>1885</t>
  </si>
  <si>
    <t>2.31153667890055-171.772840391974i</t>
  </si>
  <si>
    <t>1884</t>
  </si>
  <si>
    <t>41.2803043220132+67.5314278591972i</t>
  </si>
  <si>
    <t>1883</t>
  </si>
  <si>
    <t>-0.573603092247623+219.259098218569i</t>
  </si>
  <si>
    <t>1882</t>
  </si>
  <si>
    <t>235.131543184172-193.882817183855i</t>
  </si>
  <si>
    <t>1881</t>
  </si>
  <si>
    <t>84.5448761291083+80.7743746649527i</t>
  </si>
  <si>
    <t>1880</t>
  </si>
  <si>
    <t>232.148596495951-131.112087772786i</t>
  </si>
  <si>
    <t>1879</t>
  </si>
  <si>
    <t>141.066398351363+43.5502555331877i</t>
  </si>
  <si>
    <t>1878</t>
  </si>
  <si>
    <t>12.0009370276391-103.145537763061i</t>
  </si>
  <si>
    <t>1877</t>
  </si>
  <si>
    <t>72.0806132946838-34.9564804076272i</t>
  </si>
  <si>
    <t>1876</t>
  </si>
  <si>
    <t>-48.6347364591196+109.728765418438i</t>
  </si>
  <si>
    <t>1875</t>
  </si>
  <si>
    <t>69.2528305633179+50.9036199684708i</t>
  </si>
  <si>
    <t>1874</t>
  </si>
  <si>
    <t>-69.9783941029735-53.7421563869608i</t>
  </si>
  <si>
    <t>1873</t>
  </si>
  <si>
    <t>-255.592114776637+44.0988154008389i</t>
  </si>
  <si>
    <t>1872</t>
  </si>
  <si>
    <t>83.7954861560587+255.66430312i</t>
  </si>
  <si>
    <t>1871</t>
  </si>
  <si>
    <t>84.5750052526732-24.7867028486832i</t>
  </si>
  <si>
    <t>1870</t>
  </si>
  <si>
    <t>243.293195818107+24.7803218214173i</t>
  </si>
  <si>
    <t>1869</t>
  </si>
  <si>
    <t>9.14432623502705-103.53156340883i</t>
  </si>
  <si>
    <t>1868</t>
  </si>
  <si>
    <t>-116.101064285051-5.04615108520818i</t>
  </si>
  <si>
    <t>1867</t>
  </si>
  <si>
    <t>30.1763047841305-64.8603947362462i</t>
  </si>
  <si>
    <t>1866</t>
  </si>
  <si>
    <t>-111.2680754172-99.1786781119736i</t>
  </si>
  <si>
    <t>1865</t>
  </si>
  <si>
    <t>36.6283665627436+181.283182913985i</t>
  </si>
  <si>
    <t>1864</t>
  </si>
  <si>
    <t>158.085544882477-82.490234918175i</t>
  </si>
  <si>
    <t>1863</t>
  </si>
  <si>
    <t>217.536121119573+36.6231454489538i</t>
  </si>
  <si>
    <t>1862</t>
  </si>
  <si>
    <t>67.1494137163269-111.610039059589i</t>
  </si>
  <si>
    <t>1861</t>
  </si>
  <si>
    <t>80.7628383056245-10.0932356979037i</t>
  </si>
  <si>
    <t>1860</t>
  </si>
  <si>
    <t>141.384804392929+80.1000465779978i</t>
  </si>
  <si>
    <t>1859</t>
  </si>
  <si>
    <t>94.9484255010538-196.257375644359i</t>
  </si>
  <si>
    <t>1858</t>
  </si>
  <si>
    <t>-83.6900151227674-45.7382535593031i</t>
  </si>
  <si>
    <t>1857</t>
  </si>
  <si>
    <t>7.66410544463875-66.6142672646714i</t>
  </si>
  <si>
    <t>1856</t>
  </si>
  <si>
    <t>162.791042536781+27.5584373753329i</t>
  </si>
  <si>
    <t>1855</t>
  </si>
  <si>
    <t>127.720243899593+100.726721417708i</t>
  </si>
  <si>
    <t>1854</t>
  </si>
  <si>
    <t>254.008259167422-187.070945896513i</t>
  </si>
  <si>
    <t>1853</t>
  </si>
  <si>
    <t>142.778339230943+165.565312018476i</t>
  </si>
  <si>
    <t>1852</t>
  </si>
  <si>
    <t>213.087364860883+51.7595636152874i</t>
  </si>
  <si>
    <t>1851</t>
  </si>
  <si>
    <t>207.48182820442-46.2185056271922i</t>
  </si>
  <si>
    <t>1850</t>
  </si>
  <si>
    <t>229.857659151909+166.026171573696i</t>
  </si>
  <si>
    <t>1849</t>
  </si>
  <si>
    <t>86.3534379452986+93.9796079010033i</t>
  </si>
  <si>
    <t>1848</t>
  </si>
  <si>
    <t>2.89227893888855-61.2274311903996i</t>
  </si>
  <si>
    <t>1847</t>
  </si>
  <si>
    <t>28.9992467490397-48.3951575656286i</t>
  </si>
  <si>
    <t>1846</t>
  </si>
  <si>
    <t>7.08141203553714+36.0702445935121i</t>
  </si>
  <si>
    <t>1845</t>
  </si>
  <si>
    <t>-100.946932293049-179.644954105326i</t>
  </si>
  <si>
    <t>1844</t>
  </si>
  <si>
    <t>184.435648300254-85.3599796649584i</t>
  </si>
  <si>
    <t>1843</t>
  </si>
  <si>
    <t>202.836985916485+31.29280129002i</t>
  </si>
  <si>
    <t>1842</t>
  </si>
  <si>
    <t>383.526468705213-302.68253890756i</t>
  </si>
  <si>
    <t>1841</t>
  </si>
  <si>
    <t>182.227093333557-398.510625141249i</t>
  </si>
  <si>
    <t>1840</t>
  </si>
  <si>
    <t>12.134702175552-178.855254575807i</t>
  </si>
  <si>
    <t>1839</t>
  </si>
  <si>
    <t>30.156955250583-57.8664107450457i</t>
  </si>
  <si>
    <t>1838</t>
  </si>
  <si>
    <t>142.045465146786-42.9435659157576i</t>
  </si>
  <si>
    <t>1837</t>
  </si>
  <si>
    <t>255.378881205545-150.099385104256i</t>
  </si>
  <si>
    <t>1836</t>
  </si>
  <si>
    <t>-89.1038507560155+137.627249937997i</t>
  </si>
  <si>
    <t>1835</t>
  </si>
  <si>
    <t>171.697920218242+174.722801075871i</t>
  </si>
  <si>
    <t>1834</t>
  </si>
  <si>
    <t>143.447397688691-27.5420553415278i</t>
  </si>
  <si>
    <t>1833</t>
  </si>
  <si>
    <t>198.281165727112-322.713149196078i</t>
  </si>
  <si>
    <t>1832</t>
  </si>
  <si>
    <t>79.1095622199017+182.23222874592i</t>
  </si>
  <si>
    <t>1831</t>
  </si>
  <si>
    <t>-165.500026027777-163.622387103793i</t>
  </si>
  <si>
    <t>1830</t>
  </si>
  <si>
    <t>113.471105406366+101.039834908592i</t>
  </si>
  <si>
    <t>1829</t>
  </si>
  <si>
    <t>-23.2398926443377-23.004086158094i</t>
  </si>
  <si>
    <t>1828</t>
  </si>
  <si>
    <t>-41.6153301057923-364.008075048542i</t>
  </si>
  <si>
    <t>1827</t>
  </si>
  <si>
    <t>-73.4607920053188-349.521052385097i</t>
  </si>
  <si>
    <t>1826</t>
  </si>
  <si>
    <t>257.5-23.6000000000004i</t>
  </si>
  <si>
    <t>1825</t>
  </si>
  <si>
    <t>-165.854598842775-259.731667714078i</t>
  </si>
  <si>
    <t>1824</t>
  </si>
  <si>
    <t>315.949651157558-152.951143105795i</t>
  </si>
  <si>
    <t>1823</t>
  </si>
  <si>
    <t>351.240513229938-119.846427904456i</t>
  </si>
  <si>
    <t>1822</t>
  </si>
  <si>
    <t>86.6005697378491-62.2482674793683i</t>
  </si>
  <si>
    <t>1821</t>
  </si>
  <si>
    <t>287.522083470172+41.9257444681726i</t>
  </si>
  <si>
    <t>1820</t>
  </si>
  <si>
    <t>198.459584524929+135.526633803015i</t>
  </si>
  <si>
    <t>1819</t>
  </si>
  <si>
    <t>38.2178971583312+331.141181976717i</t>
  </si>
  <si>
    <t>1818</t>
  </si>
  <si>
    <t>-32.7747868228113+469.159826742443i</t>
  </si>
  <si>
    <t>1817</t>
  </si>
  <si>
    <t>37.8339108038578+208.148116632272i</t>
  </si>
  <si>
    <t>1816</t>
  </si>
  <si>
    <t>57.2437307167605-6.48197152328987i</t>
  </si>
  <si>
    <t>1815</t>
  </si>
  <si>
    <t>-778.343402383749-127.652158805811i</t>
  </si>
  <si>
    <t>1814</t>
  </si>
  <si>
    <t>-149.791332631784-69.8689393395048i</t>
  </si>
  <si>
    <t>1813</t>
  </si>
  <si>
    <t>62.142974512933-446.72398629492i</t>
  </si>
  <si>
    <t>1812</t>
  </si>
  <si>
    <t>-370.138111062894-432.383339313295i</t>
  </si>
  <si>
    <t>1811</t>
  </si>
  <si>
    <t>-329.805956498566+328.223490237832i</t>
  </si>
  <si>
    <t>1810</t>
  </si>
  <si>
    <t>484.618299916709-85.0015221122121i</t>
  </si>
  <si>
    <t>1809</t>
  </si>
  <si>
    <t>1173.41247725343-372.401499249181i</t>
  </si>
  <si>
    <t>1808</t>
  </si>
  <si>
    <t>-205.306598908213+27.1133127489577i</t>
  </si>
  <si>
    <t>1807</t>
  </si>
  <si>
    <t>-81.4117972636569-967.811920120999i</t>
  </si>
  <si>
    <t>1806</t>
  </si>
  <si>
    <t>284.95193755761+577.937822092779i</t>
  </si>
  <si>
    <t>1805</t>
  </si>
  <si>
    <t>-427.117326581593-293.925922524015i</t>
  </si>
  <si>
    <t>1804</t>
  </si>
  <si>
    <t>141.87780586391-454.095456413654i</t>
  </si>
  <si>
    <t>1803</t>
  </si>
  <si>
    <t>129.660346405957-211.794438017829i</t>
  </si>
  <si>
    <t>1802</t>
  </si>
  <si>
    <t>-271.216037997867-172.73871298004i</t>
  </si>
  <si>
    <t>1801</t>
  </si>
  <si>
    <t>7.01772938751851+92.6609517308224i</t>
  </si>
  <si>
    <t>1800</t>
  </si>
  <si>
    <t>-185.052148754833-552.975377818902i</t>
  </si>
  <si>
    <t>1799</t>
  </si>
  <si>
    <t>150.709181634537+95.6277415922005i</t>
  </si>
  <si>
    <t>1798</t>
  </si>
  <si>
    <t>-506.14299572835+333.407092730613i</t>
  </si>
  <si>
    <t>1797</t>
  </si>
  <si>
    <t>-284.980761553069-298.830257402423i</t>
  </si>
  <si>
    <t>1796</t>
  </si>
  <si>
    <t>-345.653737774049-1007.72615857383i</t>
  </si>
  <si>
    <t>1795</t>
  </si>
  <si>
    <t>39.2792971051171-979.799631592036i</t>
  </si>
  <si>
    <t>1794</t>
  </si>
  <si>
    <t>-1148.30998487723-582.738253559301i</t>
  </si>
  <si>
    <t>1793</t>
  </si>
  <si>
    <t>755.666092593671-653.582598110781i</t>
  </si>
  <si>
    <t>1792</t>
  </si>
  <si>
    <t>1917.74532552566+59.8938352713179i</t>
  </si>
  <si>
    <t>1791</t>
  </si>
  <si>
    <t>1753.25360213298+19.5376118013287i</t>
  </si>
  <si>
    <t>1790</t>
  </si>
  <si>
    <t>780.080446859459-840.983917311217i</t>
  </si>
  <si>
    <t>1789</t>
  </si>
  <si>
    <t>972.008816221859+827.49115117658i</t>
  </si>
  <si>
    <t>1788</t>
  </si>
  <si>
    <t>2749.55986032386+229.138185136705i</t>
  </si>
  <si>
    <t>1787</t>
  </si>
  <si>
    <t>-2059.67214032393-1345.78497036806i</t>
  </si>
  <si>
    <t>1786</t>
  </si>
  <si>
    <t>-4946.74768343029-79.7247168776543i</t>
  </si>
  <si>
    <t>1785</t>
  </si>
  <si>
    <t>in years</t>
  </si>
  <si>
    <t>2016.08814145038+4888.96224702692i</t>
  </si>
  <si>
    <t>1784</t>
  </si>
  <si>
    <t>-2614.28895239255+1868.60594960635i</t>
  </si>
  <si>
    <t>1783</t>
  </si>
  <si>
    <t>989.051354958006-578.683405773653i</t>
  </si>
  <si>
    <t>1782</t>
  </si>
  <si>
    <t>-378.075939214969-334.779602000546i</t>
  </si>
  <si>
    <t>1781</t>
  </si>
  <si>
    <t>607.668692411198-91.5117114651608i</t>
  </si>
  <si>
    <t>1780</t>
  </si>
  <si>
    <t>1353.89202975394+46.1637016725845i</t>
  </si>
  <si>
    <t>1779</t>
  </si>
  <si>
    <t>1036.31477662457+1067.77370380457i</t>
  </si>
  <si>
    <t>1778</t>
  </si>
  <si>
    <t>173.033625481052+528.738860408387i</t>
  </si>
  <si>
    <t>1777</t>
  </si>
  <si>
    <t>-447.92319356754-100.145338936119i</t>
  </si>
  <si>
    <t>1776</t>
  </si>
  <si>
    <t>468.825382157941+385.17862839536i</t>
  </si>
  <si>
    <t>1775</t>
  </si>
  <si>
    <t>-21.1172026795151-294.123405859691i</t>
  </si>
  <si>
    <t>1774</t>
  </si>
  <si>
    <t>159.861683318861-1377.70479015406i</t>
  </si>
  <si>
    <t>1773</t>
  </si>
  <si>
    <t>-269.829115049292-219.020001989163i</t>
  </si>
  <si>
    <t>1772</t>
  </si>
  <si>
    <t>609.67066010011-318.844789167041i</t>
  </si>
  <si>
    <t>1771</t>
  </si>
  <si>
    <t>141.736122947818+862.281736335533i</t>
  </si>
  <si>
    <t>1770</t>
  </si>
  <si>
    <t>272.769983643393-346.162089311838i</t>
  </si>
  <si>
    <t>1769</t>
  </si>
  <si>
    <t>136.84529438901-425.069777328734i</t>
  </si>
  <si>
    <t>1768</t>
  </si>
  <si>
    <t>-1295.39839487651-11.9138925316887i</t>
  </si>
  <si>
    <t>1767</t>
  </si>
  <si>
    <t>-1715.59132676931-136.905024266534i</t>
  </si>
  <si>
    <t>1766</t>
  </si>
  <si>
    <t>-903.554433703613-1620.4011345227i</t>
  </si>
  <si>
    <t>1765</t>
  </si>
  <si>
    <t>1276.61982356039-2449.93097274913i</t>
  </si>
  <si>
    <t>1764</t>
  </si>
  <si>
    <t>-488.014150390877+1779.88448838923i</t>
  </si>
  <si>
    <t>1763</t>
  </si>
  <si>
    <t>980.741382421425+1444.43907199972i</t>
  </si>
  <si>
    <t>1762</t>
  </si>
  <si>
    <t>21314.1</t>
  </si>
  <si>
    <t>1761</t>
  </si>
  <si>
    <t>Power</t>
  </si>
  <si>
    <t>Frequency</t>
  </si>
  <si>
    <t>DFT</t>
  </si>
  <si>
    <t>Avrg sunspot</t>
  </si>
  <si>
    <t>Year</t>
  </si>
  <si>
    <t>T=Total time (number of years in this case)</t>
  </si>
  <si>
    <t>Frequency increments</t>
  </si>
  <si>
    <t>N=Number of observations</t>
  </si>
  <si>
    <t>sunspot example</t>
  </si>
  <si>
    <t>Folding frequency</t>
  </si>
  <si>
    <r>
      <t>k=Number of DFT coefficients (k=1,2,..,N-1) --&gt; Has to be 2</t>
    </r>
    <r>
      <rPr>
        <vertAlign val="superscript"/>
        <sz val="11"/>
        <color theme="1"/>
        <rFont val="Calibri"/>
        <family val="2"/>
        <scheme val="minor"/>
      </rPr>
      <t>n</t>
    </r>
  </si>
  <si>
    <t>Average annual</t>
  </si>
  <si>
    <t>16.4015317415507-17.6815745336305i</t>
  </si>
  <si>
    <t>11.7579907349996-6.84238977968305i</t>
  </si>
  <si>
    <t>-5.91367440506012+11.8328152678413i</t>
  </si>
  <si>
    <t>35.2835011063496-12.4249205692463i</t>
  </si>
  <si>
    <t>-1.98086022923992+18.8700115137205i</t>
  </si>
  <si>
    <t>16.0609167507139+26.831664796016i</t>
  </si>
  <si>
    <t>11.4618829287154+33.6699069462512i</t>
  </si>
  <si>
    <t>15.8856168823507+44.5312439269939i</t>
  </si>
  <si>
    <t>16.5283668717103+38.548169153935i</t>
  </si>
  <si>
    <t>61.9662475075816+155.619277414475i</t>
  </si>
  <si>
    <t>-124.320474117402-298.578476671382i</t>
  </si>
  <si>
    <t>-45.2920016823435-76.2460152691717i</t>
  </si>
  <si>
    <t>14.8082613318469-64.257234394418i</t>
  </si>
  <si>
    <t>-16.107050196303-22.5272702972513i</t>
  </si>
  <si>
    <t>1.96056586983377-16.9427512275809i</t>
  </si>
  <si>
    <t>-9.24350288425451-18.7128463018496i</t>
  </si>
  <si>
    <t>-1.78962263373975-19.4253556886132i</t>
  </si>
  <si>
    <t>1.76684974755041-12.02418193081i</t>
  </si>
  <si>
    <t>9.19737563882726-12.2157704333921i</t>
  </si>
  <si>
    <t>-6.64473466931519+6.31697301483824i</t>
  </si>
  <si>
    <t>41.1575646990985-15.8537596181168i</t>
  </si>
  <si>
    <t>-21.6940284784953-9.34491926448521i</t>
  </si>
  <si>
    <t>-30.1515407582786-5.08577858771251i</t>
  </si>
  <si>
    <t>0.242924181568491-9.0671060443555i</t>
  </si>
  <si>
    <t>-11.6519563181529-19.4234811814672i</t>
  </si>
  <si>
    <t>-6.74646928127504-6.48518366263443i</t>
  </si>
  <si>
    <t>2.10545165023496+8.23432042335355i</t>
  </si>
  <si>
    <t>-5.67115199890978-9.26853190578142i</t>
  </si>
  <si>
    <t>-15.9719346998063+8.40080381477348i</t>
  </si>
  <si>
    <t>-15.2284855342037+5.13898114726122i</t>
  </si>
  <si>
    <t>-5.40818814843339-3.29579087082972i</t>
  </si>
  <si>
    <t>-15.8-5.69999999999999i</t>
  </si>
  <si>
    <t>9.83948984335706-5.8528109555464i</t>
  </si>
  <si>
    <t>-14.2641996367866-12.7138718060943i</t>
  </si>
  <si>
    <t>3.94553392202084-7.05709424438594i</t>
  </si>
  <si>
    <t>9.54808227817936E-002+13.2110178056581i</t>
  </si>
  <si>
    <t>-1.35173989284384+2.22302624744907i</t>
  </si>
  <si>
    <t>7.91638457025632+0.881716041328468i</t>
  </si>
  <si>
    <t>-11.57494153522-12.6230728259683i</t>
  </si>
  <si>
    <t>-9.40932387401147-12.4383830603263i</t>
  </si>
  <si>
    <t>3.82200363963886+16.930837981115i</t>
  </si>
  <si>
    <t>-2.44246757948808-16.8232895431528i</t>
  </si>
  <si>
    <t>-7.67821196601611-0.806696789512596i</t>
  </si>
  <si>
    <t>-2.93825478651234-7.09454789029095i</t>
  </si>
  <si>
    <t>-9.64650393503122+6.45132169330556i</t>
  </si>
  <si>
    <t>11.837528977443-9.47170159652329i</t>
  </si>
  <si>
    <t>-32.3705933272512+8.01593676027453i</t>
  </si>
  <si>
    <t>-6.5564971157456-9.7128463018496i</t>
  </si>
  <si>
    <t>-15.3996425946435-4.90353930192852i</t>
  </si>
  <si>
    <t>-9.80603828496098-0.757962937641381i</t>
  </si>
  <si>
    <t>-16.6241176209195-8.99532312557926i</t>
  </si>
  <si>
    <t>-14.5455282827173-10.019354402499i</t>
  </si>
  <si>
    <t>-4.10554525593066-13.7502963820874i</t>
  </si>
  <si>
    <t>-2.91331115700248+2.05538092170707i</t>
  </si>
  <si>
    <t>6.92198833630189-10.1805716020003i</t>
  </si>
  <si>
    <t>4.08078281009227-14.0400330889769i</t>
  </si>
  <si>
    <t>6.03126742010831+8.88587695731078i</t>
  </si>
  <si>
    <t>-19.9434051355393+1.06980588019336i</t>
  </si>
  <si>
    <t>-6.92815540866653+0.183662774473973i</t>
  </si>
  <si>
    <t>-7.4873105093334+1.69281091399539i</t>
  </si>
  <si>
    <t>-12.5987705062404-0.623867283768234i</t>
  </si>
  <si>
    <t>-10.1604630044902+8.2783518865994i</t>
  </si>
  <si>
    <t>8.08518945962968-10.0171877718173i</t>
  </si>
  <si>
    <t>13.1000000000001</t>
  </si>
  <si>
    <t>8.08518945962972+10.0171877718173i</t>
  </si>
  <si>
    <t>-10.1604630044902-8.27835188659935i</t>
  </si>
  <si>
    <t>-12.5987705062404+0.623867283768299i</t>
  </si>
  <si>
    <t>-7.48731050933341-1.69281091399534i</t>
  </si>
  <si>
    <t>-6.92815540866659-0.183662774473918i</t>
  </si>
  <si>
    <t>-19.9434051355393-1.06980588019325i</t>
  </si>
  <si>
    <t>6.03126742010826-8.88587695731079i</t>
  </si>
  <si>
    <t>4.08078281009227+14.0400330889769i</t>
  </si>
  <si>
    <t>6.92198833630184+10.1805716020003i</t>
  </si>
  <si>
    <t>-2.9133111570026-2.05538092170696i</t>
  </si>
  <si>
    <t>-4.10554525593034+13.7502963820872i</t>
  </si>
  <si>
    <t>-14.5455282827172+10.019354402499i</t>
  </si>
  <si>
    <t>-16.6241176209195+8.99532312557935i</t>
  </si>
  <si>
    <t>-9.80603828496094+0.757962937641423i</t>
  </si>
  <si>
    <t>-15.3996425946434+4.90353930192858i</t>
  </si>
  <si>
    <t>-6.55649711574557+9.7128463018496i</t>
  </si>
  <si>
    <t>-32.3705933272512-8.01593676027438i</t>
  </si>
  <si>
    <t>11.8375289774431+9.47170159652325i</t>
  </si>
  <si>
    <t>-9.6465039350312-6.45132169330549i</t>
  </si>
  <si>
    <t>-2.93825478651235+7.09454789029096i</t>
  </si>
  <si>
    <t>-7.67821196601623+0.806696789512774i</t>
  </si>
  <si>
    <t>-2.4424675794879+16.8232895431527i</t>
  </si>
  <si>
    <t>3.82200363963882-16.930837981115i</t>
  </si>
  <si>
    <t>-9.4093238740114+12.4383830603263i</t>
  </si>
  <si>
    <t>-11.5749415352199+12.6230728259683i</t>
  </si>
  <si>
    <t>7.91638457025632-0.881716041328525i</t>
  </si>
  <si>
    <t>-1.3517398928438-2.22302624744909i</t>
  </si>
  <si>
    <t>9.54808227817714E-002-13.2110178056581i</t>
  </si>
  <si>
    <t>3.94553392202087+7.05709424438591i</t>
  </si>
  <si>
    <t>-14.2641996367866+12.7138718060943i</t>
  </si>
  <si>
    <t>9.83948984335711+5.85281095554638i</t>
  </si>
  <si>
    <t>-15.8+5.69999999999999i</t>
  </si>
  <si>
    <t>-5.40818814843337+3.29579087082974i</t>
  </si>
  <si>
    <t>-15.2284855342037-5.13898114726117i</t>
  </si>
  <si>
    <t>-15.9719346998063-8.40080381477338i</t>
  </si>
  <si>
    <t>-5.67115199890974+9.26853190578145i</t>
  </si>
  <si>
    <t>2.10545165023487-8.23432042335347i</t>
  </si>
  <si>
    <t>-6.74646928127498+6.48518366263444i</t>
  </si>
  <si>
    <t>-11.6519563181528+19.4234811814673i</t>
  </si>
  <si>
    <t>0.24292418156852+9.06710604435549i</t>
  </si>
  <si>
    <t>-30.1515407582786+5.08577858771271i</t>
  </si>
  <si>
    <t>-21.6940284784952+9.34491926448537i</t>
  </si>
  <si>
    <t>41.1575646990987+15.8537596181164i</t>
  </si>
  <si>
    <t>-6.64473466931519-6.31697301483826i</t>
  </si>
  <si>
    <t>9.19737563882729+12.2157704333922i</t>
  </si>
  <si>
    <t>1.76684974755053+12.0241819308099i</t>
  </si>
  <si>
    <t>-1.78962263373966+19.4253556886132i</t>
  </si>
  <si>
    <t>-9.24350288425446+18.7128463018496i</t>
  </si>
  <si>
    <t>1.96056586983385+16.942751227581i</t>
  </si>
  <si>
    <t>-16.1070501963029+22.5272702972513i</t>
  </si>
  <si>
    <t>14.8082613318472+64.2572343944179i</t>
  </si>
  <si>
    <t>-45.2920016823433+76.2460152691718i</t>
  </si>
  <si>
    <t>-124.3204741174+298.578476671382i</t>
  </si>
  <si>
    <t>61.9662475075809-155.619277414475i</t>
  </si>
  <si>
    <t>16.5283668717102-38.5481691539353i</t>
  </si>
  <si>
    <t>15.8856168823506-44.531243926994i</t>
  </si>
  <si>
    <t>11.4618829287153-33.6699069462514i</t>
  </si>
  <si>
    <t>16.0609167507137-26.8316647960159i</t>
  </si>
  <si>
    <t>-1.98086022923999-18.8700115137206i</t>
  </si>
  <si>
    <t>35.2835011063497+12.4249205692461i</t>
  </si>
  <si>
    <t>-5.91367440506014-11.8328152678415i</t>
  </si>
  <si>
    <t>11.7579907349996+6.84238977968308i</t>
  </si>
  <si>
    <t>16.4015317415508+17.6815745336304i</t>
  </si>
  <si>
    <t>Mean temp Cent England Jan 94-Aug2004</t>
  </si>
  <si>
    <t>1297.3</t>
  </si>
  <si>
    <t>2.15 Frequency analysis and FFT</t>
  </si>
  <si>
    <t>-19.9999999999994-5.85786437626833i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</si>
</sst>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.000000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Symbol"/>
      <family val="1"/>
      <charset val="2"/>
    </font>
    <font>
      <b/>
      <sz val="11"/>
      <color theme="1"/>
      <name val="Calibri"/>
      <family val="2"/>
    </font>
    <font>
      <b/>
      <i/>
      <sz val="11"/>
      <color theme="1"/>
      <name val="Calibri"/>
      <family val="2"/>
    </font>
    <font>
      <b/>
      <sz val="11"/>
      <color theme="1"/>
      <name val="Calibri"/>
      <family val="1"/>
      <charset val="2"/>
    </font>
    <font>
      <b/>
      <sz val="11"/>
      <color theme="1"/>
      <name val="Calibri"/>
      <family val="2"/>
      <charset val="2"/>
    </font>
    <font>
      <sz val="11"/>
      <color theme="1"/>
      <name val="Calibri"/>
      <family val="1"/>
      <charset val="2"/>
    </font>
    <font>
      <sz val="11"/>
      <color theme="2" tint="-0.249977111117893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3" fillId="0" borderId="0"/>
    <xf numFmtId="0" fontId="1" fillId="0" borderId="0"/>
    <xf numFmtId="0" fontId="1" fillId="0" borderId="0"/>
  </cellStyleXfs>
  <cellXfs count="56">
    <xf numFmtId="0" fontId="0" fillId="0" borderId="0" xfId="0"/>
    <xf numFmtId="0" fontId="2" fillId="0" borderId="0" xfId="0" applyFont="1"/>
    <xf numFmtId="0" fontId="3" fillId="0" borderId="0" xfId="0" applyFont="1"/>
    <xf numFmtId="2" fontId="0" fillId="0" borderId="0" xfId="0" applyNumberFormat="1"/>
    <xf numFmtId="0" fontId="4" fillId="0" borderId="0" xfId="0" applyFont="1"/>
    <xf numFmtId="0" fontId="0" fillId="0" borderId="0" xfId="0" quotePrefix="1"/>
    <xf numFmtId="1" fontId="0" fillId="0" borderId="0" xfId="1" applyNumberFormat="1" applyFont="1"/>
    <xf numFmtId="1" fontId="0" fillId="0" borderId="0" xfId="0" quotePrefix="1" applyNumberFormat="1"/>
    <xf numFmtId="0" fontId="0" fillId="0" borderId="0" xfId="0" applyFont="1"/>
    <xf numFmtId="1" fontId="0" fillId="0" borderId="0" xfId="0" applyNumberFormat="1"/>
    <xf numFmtId="0" fontId="10" fillId="0" borderId="0" xfId="0" applyFont="1"/>
    <xf numFmtId="164" fontId="0" fillId="0" borderId="0" xfId="0" applyNumberFormat="1"/>
    <xf numFmtId="0" fontId="0" fillId="0" borderId="0" xfId="0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/>
    </xf>
    <xf numFmtId="165" fontId="0" fillId="0" borderId="0" xfId="0" applyNumberFormat="1"/>
    <xf numFmtId="166" fontId="0" fillId="0" borderId="0" xfId="0" applyNumberFormat="1"/>
    <xf numFmtId="0" fontId="9" fillId="0" borderId="1" xfId="0" applyFont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4" xfId="0" applyBorder="1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0" fontId="11" fillId="0" borderId="0" xfId="0" applyFont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0" xfId="0" quotePrefix="1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/>
    <xf numFmtId="0" fontId="0" fillId="0" borderId="7" xfId="0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0" fillId="0" borderId="8" xfId="0" quotePrefix="1" applyBorder="1" applyAlignment="1">
      <alignment horizontal="center"/>
    </xf>
    <xf numFmtId="0" fontId="0" fillId="2" borderId="0" xfId="0" applyFill="1"/>
    <xf numFmtId="0" fontId="0" fillId="0" borderId="0" xfId="0" applyFill="1"/>
    <xf numFmtId="0" fontId="0" fillId="3" borderId="0" xfId="0" applyFill="1"/>
    <xf numFmtId="0" fontId="0" fillId="3" borderId="0" xfId="0" quotePrefix="1" applyFill="1" applyAlignment="1">
      <alignment horizontal="center"/>
    </xf>
    <xf numFmtId="0" fontId="0" fillId="4" borderId="0" xfId="0" applyFill="1"/>
    <xf numFmtId="165" fontId="0" fillId="3" borderId="0" xfId="0" applyNumberFormat="1" applyFill="1"/>
    <xf numFmtId="164" fontId="0" fillId="3" borderId="0" xfId="0" quotePrefix="1" applyNumberFormat="1" applyFill="1"/>
    <xf numFmtId="2" fontId="0" fillId="3" borderId="0" xfId="0" quotePrefix="1" applyNumberFormat="1" applyFill="1"/>
    <xf numFmtId="0" fontId="0" fillId="5" borderId="0" xfId="0" applyFill="1"/>
    <xf numFmtId="2" fontId="0" fillId="5" borderId="0" xfId="0" quotePrefix="1" applyNumberFormat="1" applyFill="1"/>
    <xf numFmtId="0" fontId="9" fillId="0" borderId="9" xfId="0" applyFont="1" applyBorder="1"/>
    <xf numFmtId="0" fontId="2" fillId="0" borderId="10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2" fillId="0" borderId="0" xfId="0" applyFont="1"/>
    <xf numFmtId="0" fontId="14" fillId="0" borderId="0" xfId="2" applyFont="1"/>
    <xf numFmtId="0" fontId="13" fillId="0" borderId="0" xfId="2"/>
    <xf numFmtId="0" fontId="15" fillId="0" borderId="0" xfId="2" applyFont="1"/>
    <xf numFmtId="0" fontId="16" fillId="0" borderId="0" xfId="2" applyFont="1"/>
    <xf numFmtId="0" fontId="13" fillId="6" borderId="0" xfId="2" applyFill="1"/>
    <xf numFmtId="0" fontId="13" fillId="0" borderId="0" xfId="2" quotePrefix="1"/>
    <xf numFmtId="0" fontId="13" fillId="0" borderId="0" xfId="2" applyAlignment="1"/>
  </cellXfs>
  <cellStyles count="5">
    <cellStyle name="Normal" xfId="0" builtinId="0"/>
    <cellStyle name="Normal 2" xfId="2" xr:uid="{1235D70B-9115-4E9C-B574-1AA687A81BCC}"/>
    <cellStyle name="Normal 2 2" xfId="4" xr:uid="{C875899C-343F-4BA7-82C7-1E4789C83EDE}"/>
    <cellStyle name="Normal 3" xfId="3" xr:uid="{BD11DACD-51F2-468D-885E-81945BBACBE6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'2.11'!$B$2</c:f>
              <c:strCache>
                <c:ptCount val="1"/>
                <c:pt idx="0">
                  <c:v>1/x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'2.11'!$A$3:$A$10</c:f>
              <c:numCache>
                <c:formatCode>General</c:formatCode>
                <c:ptCount val="8"/>
                <c:pt idx="0">
                  <c:v>1</c:v>
                </c:pt>
                <c:pt idx="1">
                  <c:v>10</c:v>
                </c:pt>
                <c:pt idx="2">
                  <c:v>100</c:v>
                </c:pt>
                <c:pt idx="3">
                  <c:v>1000</c:v>
                </c:pt>
                <c:pt idx="4">
                  <c:v>10000</c:v>
                </c:pt>
                <c:pt idx="5">
                  <c:v>100000</c:v>
                </c:pt>
                <c:pt idx="6">
                  <c:v>1000000</c:v>
                </c:pt>
                <c:pt idx="7">
                  <c:v>10000000000</c:v>
                </c:pt>
              </c:numCache>
            </c:numRef>
          </c:cat>
          <c:val>
            <c:numRef>
              <c:f>'2.11'!$B$3:$B$10</c:f>
              <c:numCache>
                <c:formatCode>General</c:formatCode>
                <c:ptCount val="8"/>
                <c:pt idx="0">
                  <c:v>1</c:v>
                </c:pt>
                <c:pt idx="1">
                  <c:v>0.1</c:v>
                </c:pt>
                <c:pt idx="2">
                  <c:v>0.01</c:v>
                </c:pt>
                <c:pt idx="3">
                  <c:v>1E-3</c:v>
                </c:pt>
                <c:pt idx="4">
                  <c:v>1E-4</c:v>
                </c:pt>
                <c:pt idx="5">
                  <c:v>1.0000000000000001E-5</c:v>
                </c:pt>
                <c:pt idx="6">
                  <c:v>9.9999999999999995E-7</c:v>
                </c:pt>
                <c:pt idx="7">
                  <c:v>1E-10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99-4E24-92E8-DABCBE6E32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1753520"/>
        <c:axId val="731753848"/>
      </c:lineChart>
      <c:catAx>
        <c:axId val="731753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1753848"/>
        <c:crosses val="autoZero"/>
        <c:auto val="0"/>
        <c:lblAlgn val="ctr"/>
        <c:lblOffset val="100"/>
        <c:noMultiLvlLbl val="0"/>
      </c:catAx>
      <c:valAx>
        <c:axId val="731753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175352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'2.11'!$Q$2</c:f>
              <c:strCache>
                <c:ptCount val="1"/>
                <c:pt idx="0">
                  <c:v>y=1+2x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'2.11'!$P$3:$P$12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xVal>
          <c:yVal>
            <c:numRef>
              <c:f>'2.11'!$Q$3:$Q$12</c:f>
              <c:numCache>
                <c:formatCode>General</c:formatCode>
                <c:ptCount val="10"/>
                <c:pt idx="0">
                  <c:v>3</c:v>
                </c:pt>
                <c:pt idx="1">
                  <c:v>5</c:v>
                </c:pt>
                <c:pt idx="2">
                  <c:v>7</c:v>
                </c:pt>
                <c:pt idx="3">
                  <c:v>9</c:v>
                </c:pt>
                <c:pt idx="4">
                  <c:v>11</c:v>
                </c:pt>
                <c:pt idx="5">
                  <c:v>13</c:v>
                </c:pt>
                <c:pt idx="6">
                  <c:v>15</c:v>
                </c:pt>
                <c:pt idx="7">
                  <c:v>17</c:v>
                </c:pt>
                <c:pt idx="8">
                  <c:v>19</c:v>
                </c:pt>
                <c:pt idx="9">
                  <c:v>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FE5-4B1E-B863-53EC5CB183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5791000"/>
        <c:axId val="485789688"/>
      </c:scatterChart>
      <c:valAx>
        <c:axId val="4857910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5789688"/>
        <c:crosses val="autoZero"/>
        <c:crossBetween val="midCat"/>
      </c:valAx>
      <c:valAx>
        <c:axId val="485789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57910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'2.15'!$L$3:$L$130</c:f>
              <c:numCache>
                <c:formatCode>General</c:formatCode>
                <c:ptCount val="128"/>
                <c:pt idx="0">
                  <c:v>6.5</c:v>
                </c:pt>
                <c:pt idx="1">
                  <c:v>7.3</c:v>
                </c:pt>
                <c:pt idx="2">
                  <c:v>8.3000000000000007</c:v>
                </c:pt>
                <c:pt idx="3">
                  <c:v>8</c:v>
                </c:pt>
                <c:pt idx="4">
                  <c:v>12.6</c:v>
                </c:pt>
                <c:pt idx="5">
                  <c:v>13.6</c:v>
                </c:pt>
                <c:pt idx="6">
                  <c:v>16.899999999999999</c:v>
                </c:pt>
                <c:pt idx="7">
                  <c:v>18</c:v>
                </c:pt>
                <c:pt idx="8">
                  <c:v>13.2</c:v>
                </c:pt>
                <c:pt idx="9">
                  <c:v>11.9</c:v>
                </c:pt>
                <c:pt idx="10">
                  <c:v>6.9</c:v>
                </c:pt>
                <c:pt idx="11">
                  <c:v>4.3</c:v>
                </c:pt>
                <c:pt idx="12">
                  <c:v>3.3</c:v>
                </c:pt>
                <c:pt idx="13">
                  <c:v>1.5</c:v>
                </c:pt>
                <c:pt idx="14">
                  <c:v>7.9</c:v>
                </c:pt>
                <c:pt idx="15">
                  <c:v>7.9</c:v>
                </c:pt>
                <c:pt idx="16">
                  <c:v>10.8</c:v>
                </c:pt>
                <c:pt idx="17">
                  <c:v>12.1</c:v>
                </c:pt>
                <c:pt idx="18">
                  <c:v>17.3</c:v>
                </c:pt>
                <c:pt idx="19">
                  <c:v>17.100000000000001</c:v>
                </c:pt>
                <c:pt idx="20">
                  <c:v>14.7</c:v>
                </c:pt>
                <c:pt idx="21">
                  <c:v>10.199999999999999</c:v>
                </c:pt>
                <c:pt idx="22">
                  <c:v>6.8</c:v>
                </c:pt>
                <c:pt idx="23">
                  <c:v>4.7</c:v>
                </c:pt>
                <c:pt idx="24">
                  <c:v>3.7</c:v>
                </c:pt>
                <c:pt idx="25">
                  <c:v>5.4</c:v>
                </c:pt>
                <c:pt idx="26">
                  <c:v>7.5</c:v>
                </c:pt>
                <c:pt idx="27">
                  <c:v>8.6999999999999993</c:v>
                </c:pt>
                <c:pt idx="28">
                  <c:v>13.6</c:v>
                </c:pt>
                <c:pt idx="29">
                  <c:v>15.7</c:v>
                </c:pt>
                <c:pt idx="30">
                  <c:v>16.2</c:v>
                </c:pt>
                <c:pt idx="31">
                  <c:v>15.3</c:v>
                </c:pt>
                <c:pt idx="32">
                  <c:v>13.4</c:v>
                </c:pt>
                <c:pt idx="33">
                  <c:v>7.8</c:v>
                </c:pt>
                <c:pt idx="34">
                  <c:v>7.4</c:v>
                </c:pt>
                <c:pt idx="35">
                  <c:v>3.6</c:v>
                </c:pt>
                <c:pt idx="36">
                  <c:v>5.9</c:v>
                </c:pt>
                <c:pt idx="37">
                  <c:v>4.5999999999999996</c:v>
                </c:pt>
                <c:pt idx="38">
                  <c:v>6.7</c:v>
                </c:pt>
                <c:pt idx="39">
                  <c:v>9.5</c:v>
                </c:pt>
                <c:pt idx="40">
                  <c:v>11.4</c:v>
                </c:pt>
                <c:pt idx="41">
                  <c:v>15</c:v>
                </c:pt>
                <c:pt idx="42">
                  <c:v>15.2</c:v>
                </c:pt>
                <c:pt idx="43">
                  <c:v>14.6</c:v>
                </c:pt>
                <c:pt idx="44">
                  <c:v>12.4</c:v>
                </c:pt>
                <c:pt idx="45">
                  <c:v>8.5</c:v>
                </c:pt>
                <c:pt idx="46">
                  <c:v>4.5999999999999996</c:v>
                </c:pt>
                <c:pt idx="47">
                  <c:v>5.5</c:v>
                </c:pt>
                <c:pt idx="48">
                  <c:v>5.3</c:v>
                </c:pt>
                <c:pt idx="49">
                  <c:v>3.2</c:v>
                </c:pt>
                <c:pt idx="50">
                  <c:v>7.7</c:v>
                </c:pt>
                <c:pt idx="51">
                  <c:v>8.1</c:v>
                </c:pt>
                <c:pt idx="52">
                  <c:v>10.7</c:v>
                </c:pt>
                <c:pt idx="53">
                  <c:v>14.5</c:v>
                </c:pt>
                <c:pt idx="54">
                  <c:v>18</c:v>
                </c:pt>
                <c:pt idx="55">
                  <c:v>16</c:v>
                </c:pt>
                <c:pt idx="56">
                  <c:v>12.7</c:v>
                </c:pt>
                <c:pt idx="57">
                  <c:v>10.199999999999999</c:v>
                </c:pt>
                <c:pt idx="58">
                  <c:v>10.1</c:v>
                </c:pt>
                <c:pt idx="59">
                  <c:v>6.4</c:v>
                </c:pt>
                <c:pt idx="60">
                  <c:v>4.8</c:v>
                </c:pt>
                <c:pt idx="61">
                  <c:v>6.5</c:v>
                </c:pt>
                <c:pt idx="62">
                  <c:v>5.6</c:v>
                </c:pt>
                <c:pt idx="63">
                  <c:v>9.1</c:v>
                </c:pt>
                <c:pt idx="64">
                  <c:v>11.6</c:v>
                </c:pt>
                <c:pt idx="65">
                  <c:v>14.3</c:v>
                </c:pt>
                <c:pt idx="66">
                  <c:v>18.600000000000001</c:v>
                </c:pt>
                <c:pt idx="67">
                  <c:v>19.2</c:v>
                </c:pt>
                <c:pt idx="68">
                  <c:v>13.7</c:v>
                </c:pt>
                <c:pt idx="69">
                  <c:v>12.9</c:v>
                </c:pt>
                <c:pt idx="70">
                  <c:v>7.7</c:v>
                </c:pt>
                <c:pt idx="71">
                  <c:v>2.2999999999999998</c:v>
                </c:pt>
                <c:pt idx="72">
                  <c:v>4.3</c:v>
                </c:pt>
                <c:pt idx="73">
                  <c:v>2.5</c:v>
                </c:pt>
                <c:pt idx="74">
                  <c:v>4.5</c:v>
                </c:pt>
                <c:pt idx="75">
                  <c:v>8.5</c:v>
                </c:pt>
                <c:pt idx="76">
                  <c:v>9.1</c:v>
                </c:pt>
                <c:pt idx="77">
                  <c:v>14.4</c:v>
                </c:pt>
                <c:pt idx="78">
                  <c:v>16.5</c:v>
                </c:pt>
                <c:pt idx="79">
                  <c:v>16.5</c:v>
                </c:pt>
                <c:pt idx="80">
                  <c:v>13.6</c:v>
                </c:pt>
                <c:pt idx="81">
                  <c:v>11.7</c:v>
                </c:pt>
                <c:pt idx="82">
                  <c:v>5.9</c:v>
                </c:pt>
                <c:pt idx="83">
                  <c:v>2.9</c:v>
                </c:pt>
                <c:pt idx="84">
                  <c:v>2.5</c:v>
                </c:pt>
                <c:pt idx="85">
                  <c:v>6.7</c:v>
                </c:pt>
                <c:pt idx="86">
                  <c:v>8.4</c:v>
                </c:pt>
                <c:pt idx="87">
                  <c:v>9</c:v>
                </c:pt>
                <c:pt idx="88">
                  <c:v>11.5</c:v>
                </c:pt>
                <c:pt idx="89">
                  <c:v>14.1</c:v>
                </c:pt>
                <c:pt idx="90">
                  <c:v>16.7</c:v>
                </c:pt>
                <c:pt idx="91">
                  <c:v>18.899999999999999</c:v>
                </c:pt>
                <c:pt idx="92">
                  <c:v>14.2</c:v>
                </c:pt>
                <c:pt idx="93">
                  <c:v>10.199999999999999</c:v>
                </c:pt>
                <c:pt idx="94">
                  <c:v>8.4</c:v>
                </c:pt>
                <c:pt idx="95">
                  <c:v>5.8</c:v>
                </c:pt>
                <c:pt idx="96">
                  <c:v>5.2</c:v>
                </c:pt>
                <c:pt idx="97">
                  <c:v>7.3</c:v>
                </c:pt>
                <c:pt idx="98">
                  <c:v>7.9</c:v>
                </c:pt>
                <c:pt idx="99">
                  <c:v>7.7</c:v>
                </c:pt>
                <c:pt idx="100">
                  <c:v>13.1</c:v>
                </c:pt>
                <c:pt idx="101">
                  <c:v>14.2</c:v>
                </c:pt>
                <c:pt idx="102">
                  <c:v>15.5</c:v>
                </c:pt>
                <c:pt idx="103">
                  <c:v>15.9</c:v>
                </c:pt>
                <c:pt idx="104">
                  <c:v>14.9</c:v>
                </c:pt>
                <c:pt idx="105">
                  <c:v>10.6</c:v>
                </c:pt>
                <c:pt idx="106">
                  <c:v>6.2</c:v>
                </c:pt>
                <c:pt idx="107">
                  <c:v>5.5</c:v>
                </c:pt>
                <c:pt idx="108">
                  <c:v>5.5</c:v>
                </c:pt>
                <c:pt idx="109">
                  <c:v>5.3</c:v>
                </c:pt>
                <c:pt idx="110">
                  <c:v>7.4</c:v>
                </c:pt>
                <c:pt idx="111">
                  <c:v>9.4</c:v>
                </c:pt>
                <c:pt idx="112">
                  <c:v>12.9</c:v>
                </c:pt>
                <c:pt idx="113">
                  <c:v>13.9</c:v>
                </c:pt>
                <c:pt idx="114">
                  <c:v>17.7</c:v>
                </c:pt>
                <c:pt idx="115">
                  <c:v>16.100000000000001</c:v>
                </c:pt>
                <c:pt idx="116">
                  <c:v>15.6</c:v>
                </c:pt>
                <c:pt idx="117">
                  <c:v>10.7</c:v>
                </c:pt>
                <c:pt idx="118">
                  <c:v>7.9</c:v>
                </c:pt>
                <c:pt idx="119">
                  <c:v>5</c:v>
                </c:pt>
                <c:pt idx="120">
                  <c:v>4.9000000000000004</c:v>
                </c:pt>
                <c:pt idx="121">
                  <c:v>6.3</c:v>
                </c:pt>
                <c:pt idx="122">
                  <c:v>7.6</c:v>
                </c:pt>
                <c:pt idx="123">
                  <c:v>7.8</c:v>
                </c:pt>
                <c:pt idx="124">
                  <c:v>12.1</c:v>
                </c:pt>
                <c:pt idx="125">
                  <c:v>15.1</c:v>
                </c:pt>
                <c:pt idx="126">
                  <c:v>15.5</c:v>
                </c:pt>
                <c:pt idx="127">
                  <c:v>16.600000000000001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E8-4F41-8A0F-CFA2D896FE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6776144"/>
        <c:axId val="686777104"/>
      </c:lineChart>
      <c:catAx>
        <c:axId val="68677614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6777104"/>
        <c:crosses val="autoZero"/>
        <c:auto val="1"/>
        <c:lblAlgn val="ctr"/>
        <c:lblOffset val="100"/>
        <c:noMultiLvlLbl val="0"/>
      </c:catAx>
      <c:valAx>
        <c:axId val="686777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6776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'2.15'!$P$4:$P$130</c:f>
              <c:numCache>
                <c:formatCode>General</c:formatCode>
                <c:ptCount val="127"/>
                <c:pt idx="0">
                  <c:v>7.8125E-3</c:v>
                </c:pt>
                <c:pt idx="1">
                  <c:v>1.5625E-2</c:v>
                </c:pt>
                <c:pt idx="2">
                  <c:v>2.34375E-2</c:v>
                </c:pt>
                <c:pt idx="3">
                  <c:v>3.125E-2</c:v>
                </c:pt>
                <c:pt idx="4">
                  <c:v>3.90625E-2</c:v>
                </c:pt>
                <c:pt idx="5">
                  <c:v>4.6875E-2</c:v>
                </c:pt>
                <c:pt idx="6">
                  <c:v>5.46875E-2</c:v>
                </c:pt>
                <c:pt idx="7">
                  <c:v>6.25E-2</c:v>
                </c:pt>
                <c:pt idx="8">
                  <c:v>7.03125E-2</c:v>
                </c:pt>
                <c:pt idx="9">
                  <c:v>7.8125E-2</c:v>
                </c:pt>
                <c:pt idx="10">
                  <c:v>8.59375E-2</c:v>
                </c:pt>
                <c:pt idx="11">
                  <c:v>9.375E-2</c:v>
                </c:pt>
                <c:pt idx="12">
                  <c:v>0.1015625</c:v>
                </c:pt>
                <c:pt idx="13">
                  <c:v>0.109375</c:v>
                </c:pt>
                <c:pt idx="14">
                  <c:v>0.1171875</c:v>
                </c:pt>
                <c:pt idx="15">
                  <c:v>0.125</c:v>
                </c:pt>
                <c:pt idx="16">
                  <c:v>0.1328125</c:v>
                </c:pt>
                <c:pt idx="17">
                  <c:v>0.140625</c:v>
                </c:pt>
                <c:pt idx="18">
                  <c:v>0.1484375</c:v>
                </c:pt>
                <c:pt idx="19">
                  <c:v>0.15625</c:v>
                </c:pt>
                <c:pt idx="20">
                  <c:v>0.1640625</c:v>
                </c:pt>
                <c:pt idx="21">
                  <c:v>0.171875</c:v>
                </c:pt>
                <c:pt idx="22">
                  <c:v>0.1796875</c:v>
                </c:pt>
                <c:pt idx="23">
                  <c:v>0.1875</c:v>
                </c:pt>
                <c:pt idx="24">
                  <c:v>0.1953125</c:v>
                </c:pt>
                <c:pt idx="25">
                  <c:v>0.203125</c:v>
                </c:pt>
                <c:pt idx="26">
                  <c:v>0.2109375</c:v>
                </c:pt>
                <c:pt idx="27">
                  <c:v>0.21875</c:v>
                </c:pt>
                <c:pt idx="28">
                  <c:v>0.2265625</c:v>
                </c:pt>
                <c:pt idx="29">
                  <c:v>0.234375</c:v>
                </c:pt>
                <c:pt idx="30">
                  <c:v>0.2421875</c:v>
                </c:pt>
                <c:pt idx="31">
                  <c:v>0.25</c:v>
                </c:pt>
                <c:pt idx="32">
                  <c:v>0.2578125</c:v>
                </c:pt>
                <c:pt idx="33">
                  <c:v>0.265625</c:v>
                </c:pt>
                <c:pt idx="34">
                  <c:v>0.2734375</c:v>
                </c:pt>
                <c:pt idx="35">
                  <c:v>0.28125</c:v>
                </c:pt>
                <c:pt idx="36">
                  <c:v>0.2890625</c:v>
                </c:pt>
                <c:pt idx="37">
                  <c:v>0.296875</c:v>
                </c:pt>
                <c:pt idx="38">
                  <c:v>0.3046875</c:v>
                </c:pt>
                <c:pt idx="39">
                  <c:v>0.3125</c:v>
                </c:pt>
                <c:pt idx="40">
                  <c:v>0.3203125</c:v>
                </c:pt>
                <c:pt idx="41">
                  <c:v>0.328125</c:v>
                </c:pt>
                <c:pt idx="42">
                  <c:v>0.3359375</c:v>
                </c:pt>
                <c:pt idx="43">
                  <c:v>0.34375</c:v>
                </c:pt>
                <c:pt idx="44">
                  <c:v>0.3515625</c:v>
                </c:pt>
                <c:pt idx="45">
                  <c:v>0.359375</c:v>
                </c:pt>
                <c:pt idx="46">
                  <c:v>0.3671875</c:v>
                </c:pt>
                <c:pt idx="47">
                  <c:v>0.375</c:v>
                </c:pt>
                <c:pt idx="48">
                  <c:v>0.3828125</c:v>
                </c:pt>
                <c:pt idx="49">
                  <c:v>0.390625</c:v>
                </c:pt>
                <c:pt idx="50">
                  <c:v>0.3984375</c:v>
                </c:pt>
                <c:pt idx="51">
                  <c:v>0.40625</c:v>
                </c:pt>
                <c:pt idx="52">
                  <c:v>0.4140625</c:v>
                </c:pt>
                <c:pt idx="53">
                  <c:v>0.421875</c:v>
                </c:pt>
                <c:pt idx="54">
                  <c:v>0.4296875</c:v>
                </c:pt>
                <c:pt idx="55">
                  <c:v>0.4375</c:v>
                </c:pt>
                <c:pt idx="56">
                  <c:v>0.4453125</c:v>
                </c:pt>
                <c:pt idx="57">
                  <c:v>0.453125</c:v>
                </c:pt>
                <c:pt idx="58">
                  <c:v>0.4609375</c:v>
                </c:pt>
                <c:pt idx="59">
                  <c:v>0.46875</c:v>
                </c:pt>
                <c:pt idx="60">
                  <c:v>0.4765625</c:v>
                </c:pt>
                <c:pt idx="61">
                  <c:v>0.484375</c:v>
                </c:pt>
                <c:pt idx="62">
                  <c:v>0.4921875</c:v>
                </c:pt>
                <c:pt idx="63">
                  <c:v>0.5</c:v>
                </c:pt>
              </c:numCache>
            </c:numRef>
          </c:xVal>
          <c:yVal>
            <c:numRef>
              <c:f>'2.15'!$Q$4:$Q$130</c:f>
              <c:numCache>
                <c:formatCode>General</c:formatCode>
                <c:ptCount val="127"/>
                <c:pt idx="0">
                  <c:v>0.1420039847308168</c:v>
                </c:pt>
                <c:pt idx="1">
                  <c:v>4.5182774419298799E-2</c:v>
                </c:pt>
                <c:pt idx="2">
                  <c:v>4.2721450715802321E-2</c:v>
                </c:pt>
                <c:pt idx="3">
                  <c:v>0.34162697789889057</c:v>
                </c:pt>
                <c:pt idx="4">
                  <c:v>8.7890903753840982E-2</c:v>
                </c:pt>
                <c:pt idx="5">
                  <c:v>0.23874298891579954</c:v>
                </c:pt>
                <c:pt idx="6">
                  <c:v>0.30884702002949305</c:v>
                </c:pt>
                <c:pt idx="7">
                  <c:v>0.5457481712446931</c:v>
                </c:pt>
                <c:pt idx="8">
                  <c:v>0.42947955482574601</c:v>
                </c:pt>
                <c:pt idx="9">
                  <c:v>6.8498963215757076</c:v>
                </c:pt>
                <c:pt idx="10">
                  <c:v>25.538253666059116</c:v>
                </c:pt>
                <c:pt idx="11">
                  <c:v>1.9201221339892987</c:v>
                </c:pt>
                <c:pt idx="12">
                  <c:v>1.0615910096902939</c:v>
                </c:pt>
                <c:pt idx="13">
                  <c:v>0.18723510084756878</c:v>
                </c:pt>
                <c:pt idx="14">
                  <c:v>7.1020663498450876E-2</c:v>
                </c:pt>
                <c:pt idx="15">
                  <c:v>0.10635082087106121</c:v>
                </c:pt>
                <c:pt idx="16">
                  <c:v>9.2907029492268228E-2</c:v>
                </c:pt>
                <c:pt idx="17">
                  <c:v>3.606023172256706E-2</c:v>
                </c:pt>
                <c:pt idx="18">
                  <c:v>5.708417136792792E-2</c:v>
                </c:pt>
                <c:pt idx="19">
                  <c:v>2.0521642308543468E-2</c:v>
                </c:pt>
                <c:pt idx="20">
                  <c:v>0.47492354150134619</c:v>
                </c:pt>
                <c:pt idx="21">
                  <c:v>0.13622030949353287</c:v>
                </c:pt>
                <c:pt idx="22">
                  <c:v>0.22826673680209295</c:v>
                </c:pt>
                <c:pt idx="23">
                  <c:v>2.0085796918354153E-2</c:v>
                </c:pt>
                <c:pt idx="24">
                  <c:v>0.12525383477708871</c:v>
                </c:pt>
                <c:pt idx="25">
                  <c:v>2.1379993872384664E-2</c:v>
                </c:pt>
                <c:pt idx="26">
                  <c:v>1.7635976436995309E-2</c:v>
                </c:pt>
                <c:pt idx="27">
                  <c:v>2.8825109541803381E-2</c:v>
                </c:pt>
                <c:pt idx="28">
                  <c:v>7.9510791696578972E-2</c:v>
                </c:pt>
                <c:pt idx="29">
                  <c:v>6.3065405004237587E-2</c:v>
                </c:pt>
                <c:pt idx="30">
                  <c:v>9.7926602815185098E-3</c:v>
                </c:pt>
                <c:pt idx="31">
                  <c:v>6.8879394531249971E-2</c:v>
                </c:pt>
                <c:pt idx="32">
                  <c:v>3.1999745229221548E-2</c:v>
                </c:pt>
                <c:pt idx="33">
                  <c:v>8.9138165913062117E-2</c:v>
                </c:pt>
                <c:pt idx="34">
                  <c:v>1.5959428003897005E-2</c:v>
                </c:pt>
                <c:pt idx="35">
                  <c:v>4.2612331066634382E-2</c:v>
                </c:pt>
                <c:pt idx="36">
                  <c:v>1.652599227234607E-3</c:v>
                </c:pt>
                <c:pt idx="37">
                  <c:v>1.5489884726984466E-2</c:v>
                </c:pt>
                <c:pt idx="38">
                  <c:v>7.1611630642934118E-2</c:v>
                </c:pt>
                <c:pt idx="39">
                  <c:v>5.9386901592151646E-2</c:v>
                </c:pt>
                <c:pt idx="40">
                  <c:v>7.3550045547895196E-2</c:v>
                </c:pt>
                <c:pt idx="41">
                  <c:v>7.0553886457421985E-2</c:v>
                </c:pt>
                <c:pt idx="42">
                  <c:v>1.4552172535469978E-2</c:v>
                </c:pt>
                <c:pt idx="43">
                  <c:v>1.4395984120628575E-2</c:v>
                </c:pt>
                <c:pt idx="44">
                  <c:v>3.2879538515401957E-2</c:v>
                </c:pt>
                <c:pt idx="45">
                  <c:v>5.6113335797213414E-2</c:v>
                </c:pt>
                <c:pt idx="46">
                  <c:v>0.27151136584545854</c:v>
                </c:pt>
                <c:pt idx="47">
                  <c:v>3.3527108816438826E-2</c:v>
                </c:pt>
                <c:pt idx="48">
                  <c:v>6.3767990656326545E-2</c:v>
                </c:pt>
                <c:pt idx="49">
                  <c:v>2.3616429360585372E-2</c:v>
                </c:pt>
                <c:pt idx="50">
                  <c:v>8.7225860548766812E-2</c:v>
                </c:pt>
                <c:pt idx="51">
                  <c:v>7.6162074137256369E-2</c:v>
                </c:pt>
                <c:pt idx="52">
                  <c:v>5.0274939561458121E-2</c:v>
                </c:pt>
                <c:pt idx="53">
                  <c:v>3.1035089430744098E-3</c:v>
                </c:pt>
                <c:pt idx="54">
                  <c:v>3.7001455242029711E-2</c:v>
                </c:pt>
                <c:pt idx="55">
                  <c:v>5.2191239619802432E-2</c:v>
                </c:pt>
                <c:pt idx="56">
                  <c:v>2.8157958006183158E-2</c:v>
                </c:pt>
                <c:pt idx="57">
                  <c:v>9.7383762944714736E-2</c:v>
                </c:pt>
                <c:pt idx="58">
                  <c:v>1.1726823579434465E-2</c:v>
                </c:pt>
                <c:pt idx="59">
                  <c:v>1.4386090686942452E-2</c:v>
                </c:pt>
                <c:pt idx="60">
                  <c:v>3.8847223793132199E-2</c:v>
                </c:pt>
                <c:pt idx="61">
                  <c:v>4.1935087505853764E-2</c:v>
                </c:pt>
                <c:pt idx="62">
                  <c:v>4.045760240575038E-2</c:v>
                </c:pt>
                <c:pt idx="63">
                  <c:v>4.1896972656250635E-2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2EA-4F0C-83E6-0AC7C00C25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1704016"/>
        <c:axId val="731704336"/>
      </c:scatterChart>
      <c:valAx>
        <c:axId val="731704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1704336"/>
        <c:crosses val="autoZero"/>
        <c:crossBetween val="midCat"/>
      </c:valAx>
      <c:valAx>
        <c:axId val="73170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17040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'2.15a'!$F$4</c:f>
              <c:strCache>
                <c:ptCount val="1"/>
                <c:pt idx="0">
                  <c:v>Power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'2.15a'!$E$5:$E$133</c:f>
              <c:numCache>
                <c:formatCode>General</c:formatCode>
                <c:ptCount val="129"/>
                <c:pt idx="0">
                  <c:v>0</c:v>
                </c:pt>
                <c:pt idx="1">
                  <c:v>3.90625E-3</c:v>
                </c:pt>
                <c:pt idx="2">
                  <c:v>7.8125E-3</c:v>
                </c:pt>
                <c:pt idx="3">
                  <c:v>1.171875E-2</c:v>
                </c:pt>
                <c:pt idx="4">
                  <c:v>1.5625E-2</c:v>
                </c:pt>
                <c:pt idx="5">
                  <c:v>1.953125E-2</c:v>
                </c:pt>
                <c:pt idx="6">
                  <c:v>2.34375E-2</c:v>
                </c:pt>
                <c:pt idx="7">
                  <c:v>2.734375E-2</c:v>
                </c:pt>
                <c:pt idx="8">
                  <c:v>3.125E-2</c:v>
                </c:pt>
                <c:pt idx="9">
                  <c:v>3.515625E-2</c:v>
                </c:pt>
                <c:pt idx="10">
                  <c:v>3.90625E-2</c:v>
                </c:pt>
                <c:pt idx="11">
                  <c:v>4.296875E-2</c:v>
                </c:pt>
                <c:pt idx="12">
                  <c:v>4.6875E-2</c:v>
                </c:pt>
                <c:pt idx="13">
                  <c:v>5.078125E-2</c:v>
                </c:pt>
                <c:pt idx="14">
                  <c:v>5.46875E-2</c:v>
                </c:pt>
                <c:pt idx="15">
                  <c:v>5.859375E-2</c:v>
                </c:pt>
                <c:pt idx="16">
                  <c:v>6.25E-2</c:v>
                </c:pt>
                <c:pt idx="17">
                  <c:v>6.640625E-2</c:v>
                </c:pt>
                <c:pt idx="18">
                  <c:v>7.03125E-2</c:v>
                </c:pt>
                <c:pt idx="19">
                  <c:v>7.421875E-2</c:v>
                </c:pt>
                <c:pt idx="20">
                  <c:v>7.8125E-2</c:v>
                </c:pt>
                <c:pt idx="21">
                  <c:v>8.203125E-2</c:v>
                </c:pt>
                <c:pt idx="22">
                  <c:v>8.59375E-2</c:v>
                </c:pt>
                <c:pt idx="23">
                  <c:v>8.984375E-2</c:v>
                </c:pt>
                <c:pt idx="24">
                  <c:v>9.375E-2</c:v>
                </c:pt>
                <c:pt idx="25">
                  <c:v>9.765625E-2</c:v>
                </c:pt>
                <c:pt idx="26">
                  <c:v>0.1015625</c:v>
                </c:pt>
                <c:pt idx="27">
                  <c:v>0.10546875</c:v>
                </c:pt>
                <c:pt idx="28">
                  <c:v>0.109375</c:v>
                </c:pt>
                <c:pt idx="29">
                  <c:v>0.11328125</c:v>
                </c:pt>
                <c:pt idx="30">
                  <c:v>0.1171875</c:v>
                </c:pt>
                <c:pt idx="31">
                  <c:v>0.12109375</c:v>
                </c:pt>
                <c:pt idx="32">
                  <c:v>0.125</c:v>
                </c:pt>
                <c:pt idx="33">
                  <c:v>0.12890625</c:v>
                </c:pt>
                <c:pt idx="34">
                  <c:v>0.1328125</c:v>
                </c:pt>
                <c:pt idx="35">
                  <c:v>0.13671875</c:v>
                </c:pt>
                <c:pt idx="36">
                  <c:v>0.140625</c:v>
                </c:pt>
                <c:pt idx="37">
                  <c:v>0.14453125</c:v>
                </c:pt>
                <c:pt idx="38">
                  <c:v>0.1484375</c:v>
                </c:pt>
                <c:pt idx="39">
                  <c:v>0.15234375</c:v>
                </c:pt>
                <c:pt idx="40">
                  <c:v>0.15625</c:v>
                </c:pt>
                <c:pt idx="41">
                  <c:v>0.16015625</c:v>
                </c:pt>
                <c:pt idx="42">
                  <c:v>0.1640625</c:v>
                </c:pt>
                <c:pt idx="43">
                  <c:v>0.16796875</c:v>
                </c:pt>
                <c:pt idx="44">
                  <c:v>0.171875</c:v>
                </c:pt>
                <c:pt idx="45">
                  <c:v>0.17578125</c:v>
                </c:pt>
                <c:pt idx="46">
                  <c:v>0.1796875</c:v>
                </c:pt>
                <c:pt idx="47">
                  <c:v>0.18359375</c:v>
                </c:pt>
                <c:pt idx="48">
                  <c:v>0.1875</c:v>
                </c:pt>
                <c:pt idx="49">
                  <c:v>0.19140625</c:v>
                </c:pt>
                <c:pt idx="50">
                  <c:v>0.1953125</c:v>
                </c:pt>
                <c:pt idx="51">
                  <c:v>0.19921875</c:v>
                </c:pt>
                <c:pt idx="52">
                  <c:v>0.203125</c:v>
                </c:pt>
                <c:pt idx="53">
                  <c:v>0.20703125</c:v>
                </c:pt>
                <c:pt idx="54">
                  <c:v>0.2109375</c:v>
                </c:pt>
                <c:pt idx="55">
                  <c:v>0.21484375</c:v>
                </c:pt>
                <c:pt idx="56">
                  <c:v>0.21875</c:v>
                </c:pt>
                <c:pt idx="57">
                  <c:v>0.22265625</c:v>
                </c:pt>
                <c:pt idx="58">
                  <c:v>0.2265625</c:v>
                </c:pt>
                <c:pt idx="59">
                  <c:v>0.23046875</c:v>
                </c:pt>
                <c:pt idx="60">
                  <c:v>0.234375</c:v>
                </c:pt>
                <c:pt idx="61">
                  <c:v>0.23828125</c:v>
                </c:pt>
                <c:pt idx="62">
                  <c:v>0.2421875</c:v>
                </c:pt>
                <c:pt idx="63">
                  <c:v>0.24609375</c:v>
                </c:pt>
                <c:pt idx="64">
                  <c:v>0.25</c:v>
                </c:pt>
                <c:pt idx="65">
                  <c:v>0.25390625</c:v>
                </c:pt>
                <c:pt idx="66">
                  <c:v>0.2578125</c:v>
                </c:pt>
                <c:pt idx="67">
                  <c:v>0.26171875</c:v>
                </c:pt>
                <c:pt idx="68">
                  <c:v>0.265625</c:v>
                </c:pt>
                <c:pt idx="69">
                  <c:v>0.26953125</c:v>
                </c:pt>
                <c:pt idx="70">
                  <c:v>0.2734375</c:v>
                </c:pt>
                <c:pt idx="71">
                  <c:v>0.27734375</c:v>
                </c:pt>
                <c:pt idx="72">
                  <c:v>0.28125</c:v>
                </c:pt>
                <c:pt idx="73">
                  <c:v>0.28515625</c:v>
                </c:pt>
                <c:pt idx="74">
                  <c:v>0.2890625</c:v>
                </c:pt>
                <c:pt idx="75">
                  <c:v>0.29296875</c:v>
                </c:pt>
                <c:pt idx="76">
                  <c:v>0.296875</c:v>
                </c:pt>
                <c:pt idx="77">
                  <c:v>0.30078125</c:v>
                </c:pt>
                <c:pt idx="78">
                  <c:v>0.3046875</c:v>
                </c:pt>
                <c:pt idx="79">
                  <c:v>0.30859375</c:v>
                </c:pt>
                <c:pt idx="80">
                  <c:v>0.3125</c:v>
                </c:pt>
                <c:pt idx="81">
                  <c:v>0.31640625</c:v>
                </c:pt>
                <c:pt idx="82">
                  <c:v>0.3203125</c:v>
                </c:pt>
                <c:pt idx="83">
                  <c:v>0.32421875</c:v>
                </c:pt>
                <c:pt idx="84">
                  <c:v>0.328125</c:v>
                </c:pt>
                <c:pt idx="85">
                  <c:v>0.33203125</c:v>
                </c:pt>
                <c:pt idx="86">
                  <c:v>0.3359375</c:v>
                </c:pt>
                <c:pt idx="87">
                  <c:v>0.33984375</c:v>
                </c:pt>
                <c:pt idx="88">
                  <c:v>0.34375</c:v>
                </c:pt>
                <c:pt idx="89">
                  <c:v>0.34765625</c:v>
                </c:pt>
                <c:pt idx="90">
                  <c:v>0.3515625</c:v>
                </c:pt>
                <c:pt idx="91">
                  <c:v>0.35546875</c:v>
                </c:pt>
                <c:pt idx="92">
                  <c:v>0.359375</c:v>
                </c:pt>
                <c:pt idx="93">
                  <c:v>0.36328125</c:v>
                </c:pt>
                <c:pt idx="94">
                  <c:v>0.3671875</c:v>
                </c:pt>
                <c:pt idx="95">
                  <c:v>0.37109375</c:v>
                </c:pt>
                <c:pt idx="96">
                  <c:v>0.375</c:v>
                </c:pt>
                <c:pt idx="97">
                  <c:v>0.37890625</c:v>
                </c:pt>
                <c:pt idx="98">
                  <c:v>0.3828125</c:v>
                </c:pt>
                <c:pt idx="99">
                  <c:v>0.38671875</c:v>
                </c:pt>
                <c:pt idx="100">
                  <c:v>0.390625</c:v>
                </c:pt>
                <c:pt idx="101">
                  <c:v>0.39453125</c:v>
                </c:pt>
                <c:pt idx="102">
                  <c:v>0.3984375</c:v>
                </c:pt>
                <c:pt idx="103">
                  <c:v>0.40234375</c:v>
                </c:pt>
                <c:pt idx="104">
                  <c:v>0.40625</c:v>
                </c:pt>
                <c:pt idx="105">
                  <c:v>0.41015625</c:v>
                </c:pt>
                <c:pt idx="106">
                  <c:v>0.4140625</c:v>
                </c:pt>
                <c:pt idx="107">
                  <c:v>0.41796875</c:v>
                </c:pt>
                <c:pt idx="108">
                  <c:v>0.421875</c:v>
                </c:pt>
                <c:pt idx="109">
                  <c:v>0.42578125</c:v>
                </c:pt>
                <c:pt idx="110">
                  <c:v>0.4296875</c:v>
                </c:pt>
                <c:pt idx="111">
                  <c:v>0.43359375</c:v>
                </c:pt>
                <c:pt idx="112">
                  <c:v>0.4375</c:v>
                </c:pt>
                <c:pt idx="113">
                  <c:v>0.44140625</c:v>
                </c:pt>
                <c:pt idx="114">
                  <c:v>0.4453125</c:v>
                </c:pt>
                <c:pt idx="115">
                  <c:v>0.44921875</c:v>
                </c:pt>
                <c:pt idx="116">
                  <c:v>0.453125</c:v>
                </c:pt>
                <c:pt idx="117">
                  <c:v>0.45703125</c:v>
                </c:pt>
                <c:pt idx="118">
                  <c:v>0.4609375</c:v>
                </c:pt>
                <c:pt idx="119">
                  <c:v>0.46484375</c:v>
                </c:pt>
                <c:pt idx="120">
                  <c:v>0.46875</c:v>
                </c:pt>
                <c:pt idx="121">
                  <c:v>0.47265625</c:v>
                </c:pt>
                <c:pt idx="122">
                  <c:v>0.4765625</c:v>
                </c:pt>
                <c:pt idx="123">
                  <c:v>0.48046875</c:v>
                </c:pt>
                <c:pt idx="124">
                  <c:v>0.484375</c:v>
                </c:pt>
                <c:pt idx="125">
                  <c:v>0.48828125</c:v>
                </c:pt>
                <c:pt idx="126">
                  <c:v>0.4921875</c:v>
                </c:pt>
                <c:pt idx="127">
                  <c:v>0.49609375</c:v>
                </c:pt>
                <c:pt idx="128">
                  <c:v>0.5</c:v>
                </c:pt>
              </c:numCache>
            </c:numRef>
          </c:xVal>
          <c:yVal>
            <c:numRef>
              <c:f>'2.15a'!$F$5:$F$133</c:f>
              <c:numCache>
                <c:formatCode>General</c:formatCode>
                <c:ptCount val="129"/>
                <c:pt idx="0">
                  <c:v>13863.856775207518</c:v>
                </c:pt>
                <c:pt idx="1">
                  <c:v>186.05089672322384</c:v>
                </c:pt>
                <c:pt idx="2">
                  <c:v>207.89469012392095</c:v>
                </c:pt>
                <c:pt idx="3">
                  <c:v>465.81542633928575</c:v>
                </c:pt>
                <c:pt idx="4">
                  <c:v>210.08974923266049</c:v>
                </c:pt>
                <c:pt idx="5">
                  <c:v>180.7859244479676</c:v>
                </c:pt>
                <c:pt idx="6">
                  <c:v>102.42913466088228</c:v>
                </c:pt>
                <c:pt idx="7">
                  <c:v>12.171078503095357</c:v>
                </c:pt>
                <c:pt idx="8">
                  <c:v>11.854959475924915</c:v>
                </c:pt>
                <c:pt idx="9">
                  <c:v>46.607600181036425</c:v>
                </c:pt>
                <c:pt idx="10">
                  <c:v>28.891620688835367</c:v>
                </c:pt>
                <c:pt idx="11">
                  <c:v>7.3716743530039697</c:v>
                </c:pt>
                <c:pt idx="12">
                  <c:v>117.40882852825821</c:v>
                </c:pt>
                <c:pt idx="13">
                  <c:v>5.3072823561714024</c:v>
                </c:pt>
                <c:pt idx="14">
                  <c:v>22.470691816898821</c:v>
                </c:pt>
                <c:pt idx="15">
                  <c:v>12.857927016990603</c:v>
                </c:pt>
                <c:pt idx="16">
                  <c:v>18.890711551091112</c:v>
                </c:pt>
                <c:pt idx="17">
                  <c:v>135.13726799236829</c:v>
                </c:pt>
                <c:pt idx="18">
                  <c:v>112.00895480855463</c:v>
                </c:pt>
                <c:pt idx="19">
                  <c:v>23.049049870118285</c:v>
                </c:pt>
                <c:pt idx="20">
                  <c:v>15.565112166072081</c:v>
                </c:pt>
                <c:pt idx="21">
                  <c:v>80.145084647342642</c:v>
                </c:pt>
                <c:pt idx="22">
                  <c:v>630.26092050207444</c:v>
                </c:pt>
                <c:pt idx="23">
                  <c:v>1706.9435575531834</c:v>
                </c:pt>
                <c:pt idx="24">
                  <c:v>1493.9372969973242</c:v>
                </c:pt>
                <c:pt idx="25">
                  <c:v>369.46939160736804</c:v>
                </c:pt>
                <c:pt idx="26">
                  <c:v>464.63523763378333</c:v>
                </c:pt>
                <c:pt idx="27">
                  <c:v>99.459396001499087</c:v>
                </c:pt>
                <c:pt idx="28">
                  <c:v>80.308804489048669</c:v>
                </c:pt>
                <c:pt idx="29">
                  <c:v>187.63915476484186</c:v>
                </c:pt>
                <c:pt idx="30">
                  <c:v>224.69082062249919</c:v>
                </c:pt>
                <c:pt idx="31">
                  <c:v>60.925381838929766</c:v>
                </c:pt>
                <c:pt idx="32">
                  <c:v>101.20847738831104</c:v>
                </c:pt>
                <c:pt idx="33">
                  <c:v>58.688365554746191</c:v>
                </c:pt>
                <c:pt idx="34">
                  <c:v>69.274201483834176</c:v>
                </c:pt>
                <c:pt idx="35">
                  <c:v>10.407321606113623</c:v>
                </c:pt>
                <c:pt idx="36">
                  <c:v>22.42071665087574</c:v>
                </c:pt>
                <c:pt idx="37">
                  <c:v>1.9444532709336266</c:v>
                </c:pt>
                <c:pt idx="38">
                  <c:v>20.753544081588029</c:v>
                </c:pt>
                <c:pt idx="39">
                  <c:v>0.52705691536976551</c:v>
                </c:pt>
                <c:pt idx="40">
                  <c:v>6.3108399798132977</c:v>
                </c:pt>
                <c:pt idx="41">
                  <c:v>3.7639580935913561</c:v>
                </c:pt>
                <c:pt idx="42">
                  <c:v>13.814208699480107</c:v>
                </c:pt>
                <c:pt idx="43">
                  <c:v>16.407571935900908</c:v>
                </c:pt>
                <c:pt idx="44">
                  <c:v>25.342390925487102</c:v>
                </c:pt>
                <c:pt idx="45">
                  <c:v>57.573717862670513</c:v>
                </c:pt>
                <c:pt idx="46">
                  <c:v>2.6175495168140031</c:v>
                </c:pt>
                <c:pt idx="47">
                  <c:v>92.50364492291682</c:v>
                </c:pt>
                <c:pt idx="48">
                  <c:v>14.775400108371228</c:v>
                </c:pt>
                <c:pt idx="49">
                  <c:v>13.214271758168836</c:v>
                </c:pt>
                <c:pt idx="50">
                  <c:v>19.772801109431352</c:v>
                </c:pt>
                <c:pt idx="51">
                  <c:v>12.416019849398126</c:v>
                </c:pt>
                <c:pt idx="52">
                  <c:v>1.6674262705098362</c:v>
                </c:pt>
                <c:pt idx="53">
                  <c:v>37.970796245245033</c:v>
                </c:pt>
                <c:pt idx="54">
                  <c:v>0.20256717902842597</c:v>
                </c:pt>
                <c:pt idx="55">
                  <c:v>2.7317531289231063</c:v>
                </c:pt>
                <c:pt idx="56">
                  <c:v>13.500068950212393</c:v>
                </c:pt>
                <c:pt idx="57">
                  <c:v>6.7819268837977296</c:v>
                </c:pt>
                <c:pt idx="58">
                  <c:v>3.5250045873891582</c:v>
                </c:pt>
                <c:pt idx="59">
                  <c:v>5.1529978352196704</c:v>
                </c:pt>
                <c:pt idx="60">
                  <c:v>0.69424471942767618</c:v>
                </c:pt>
                <c:pt idx="61">
                  <c:v>8.4065591073906401</c:v>
                </c:pt>
                <c:pt idx="62">
                  <c:v>7.5206441799287091</c:v>
                </c:pt>
                <c:pt idx="63">
                  <c:v>5.796404246266726</c:v>
                </c:pt>
                <c:pt idx="64">
                  <c:v>4.0810064697265647</c:v>
                </c:pt>
                <c:pt idx="65">
                  <c:v>7.7857332777364743</c:v>
                </c:pt>
                <c:pt idx="66">
                  <c:v>8.1929757324437915</c:v>
                </c:pt>
                <c:pt idx="67">
                  <c:v>6.5263707891195899E-2</c:v>
                </c:pt>
                <c:pt idx="68">
                  <c:v>1.4089807129210297</c:v>
                </c:pt>
                <c:pt idx="69">
                  <c:v>3.305819346724753</c:v>
                </c:pt>
                <c:pt idx="70">
                  <c:v>2.4088688982134894</c:v>
                </c:pt>
                <c:pt idx="71">
                  <c:v>8.756054525522007</c:v>
                </c:pt>
                <c:pt idx="72">
                  <c:v>1.3022290476131135</c:v>
                </c:pt>
                <c:pt idx="73">
                  <c:v>3.6626118788493764</c:v>
                </c:pt>
                <c:pt idx="74">
                  <c:v>1.640671151431041</c:v>
                </c:pt>
                <c:pt idx="75">
                  <c:v>5.3557249984418709</c:v>
                </c:pt>
                <c:pt idx="76">
                  <c:v>1.3440590833940316</c:v>
                </c:pt>
                <c:pt idx="77">
                  <c:v>0.25988546401977569</c:v>
                </c:pt>
                <c:pt idx="78">
                  <c:v>1.9614534354410442</c:v>
                </c:pt>
                <c:pt idx="79">
                  <c:v>11.719813958451292</c:v>
                </c:pt>
                <c:pt idx="80">
                  <c:v>14.569657687806233</c:v>
                </c:pt>
                <c:pt idx="81">
                  <c:v>2.5709278728186642</c:v>
                </c:pt>
                <c:pt idx="82">
                  <c:v>2.5209249568076841</c:v>
                </c:pt>
                <c:pt idx="83">
                  <c:v>2.5917109786915344</c:v>
                </c:pt>
                <c:pt idx="84">
                  <c:v>8.2471248867971123E-2</c:v>
                </c:pt>
                <c:pt idx="85">
                  <c:v>0.19427780687339533</c:v>
                </c:pt>
                <c:pt idx="86">
                  <c:v>0.22931906784884368</c:v>
                </c:pt>
                <c:pt idx="87">
                  <c:v>0.99420672279045763</c:v>
                </c:pt>
                <c:pt idx="88">
                  <c:v>4.9071797557503354</c:v>
                </c:pt>
                <c:pt idx="89">
                  <c:v>2.7578649473546912</c:v>
                </c:pt>
                <c:pt idx="90">
                  <c:v>2.9348924248657267</c:v>
                </c:pt>
                <c:pt idx="91">
                  <c:v>2.9173295103345667</c:v>
                </c:pt>
                <c:pt idx="92">
                  <c:v>6.0739584059985532</c:v>
                </c:pt>
                <c:pt idx="93">
                  <c:v>1.6148884954426317</c:v>
                </c:pt>
                <c:pt idx="94">
                  <c:v>1.6638422241688346</c:v>
                </c:pt>
                <c:pt idx="95">
                  <c:v>0.27442621554416585</c:v>
                </c:pt>
                <c:pt idx="96">
                  <c:v>0.55517617614160997</c:v>
                </c:pt>
                <c:pt idx="97">
                  <c:v>2.9011328735315067</c:v>
                </c:pt>
                <c:pt idx="98">
                  <c:v>1.6116748275771611</c:v>
                </c:pt>
                <c:pt idx="99">
                  <c:v>0.40432796985070096</c:v>
                </c:pt>
                <c:pt idx="100">
                  <c:v>1.0355129749346565</c:v>
                </c:pt>
                <c:pt idx="101">
                  <c:v>2.970167161518845</c:v>
                </c:pt>
                <c:pt idx="102">
                  <c:v>1.9406541966336273</c:v>
                </c:pt>
                <c:pt idx="103">
                  <c:v>2.0877215359179724</c:v>
                </c:pt>
                <c:pt idx="104">
                  <c:v>1.3560177489676621</c:v>
                </c:pt>
                <c:pt idx="105">
                  <c:v>0.31234620213418041</c:v>
                </c:pt>
                <c:pt idx="106">
                  <c:v>0.82427494927345524</c:v>
                </c:pt>
                <c:pt idx="107">
                  <c:v>0.65932637476618594</c:v>
                </c:pt>
                <c:pt idx="108">
                  <c:v>3.6502467944922343</c:v>
                </c:pt>
                <c:pt idx="109">
                  <c:v>0.47407911081534521</c:v>
                </c:pt>
                <c:pt idx="110">
                  <c:v>4.4180859002664459</c:v>
                </c:pt>
                <c:pt idx="111">
                  <c:v>4.1059591464691687</c:v>
                </c:pt>
                <c:pt idx="112">
                  <c:v>0.47517059413767243</c:v>
                </c:pt>
                <c:pt idx="113">
                  <c:v>0.45087482097937731</c:v>
                </c:pt>
                <c:pt idx="114">
                  <c:v>0.87925656437393873</c:v>
                </c:pt>
                <c:pt idx="115">
                  <c:v>0.39169740816812565</c:v>
                </c:pt>
                <c:pt idx="116">
                  <c:v>0.65814358215163571</c:v>
                </c:pt>
                <c:pt idx="117">
                  <c:v>1.3303438416034781</c:v>
                </c:pt>
                <c:pt idx="118">
                  <c:v>4.3385833993639311</c:v>
                </c:pt>
                <c:pt idx="119">
                  <c:v>0.83449314466555291</c:v>
                </c:pt>
                <c:pt idx="120">
                  <c:v>5.6687859740794835</c:v>
                </c:pt>
                <c:pt idx="121">
                  <c:v>2.9342578840409859</c:v>
                </c:pt>
                <c:pt idx="122">
                  <c:v>0.38235823203246933</c:v>
                </c:pt>
                <c:pt idx="123">
                  <c:v>1.8012238707363573</c:v>
                </c:pt>
                <c:pt idx="124">
                  <c:v>0.65313351177416434</c:v>
                </c:pt>
                <c:pt idx="125">
                  <c:v>4.3995709247760679</c:v>
                </c:pt>
                <c:pt idx="126">
                  <c:v>2.2818965630650228</c:v>
                </c:pt>
                <c:pt idx="127">
                  <c:v>0.81861054695880553</c:v>
                </c:pt>
                <c:pt idx="128">
                  <c:v>0.20039611816407019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D0C-46D3-A1E6-D7FF0C1A1D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6836360"/>
        <c:axId val="836844888"/>
      </c:scatterChart>
      <c:valAx>
        <c:axId val="8368363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6844888"/>
        <c:crosses val="autoZero"/>
        <c:crossBetween val="midCat"/>
      </c:valAx>
      <c:valAx>
        <c:axId val="83684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68363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'2.15a'!$F$4</c:f>
              <c:strCache>
                <c:ptCount val="1"/>
                <c:pt idx="0">
                  <c:v>Power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'2.15a'!$E$6:$E$133</c:f>
              <c:numCache>
                <c:formatCode>General</c:formatCode>
                <c:ptCount val="128"/>
                <c:pt idx="0">
                  <c:v>3.90625E-3</c:v>
                </c:pt>
                <c:pt idx="1">
                  <c:v>7.8125E-3</c:v>
                </c:pt>
                <c:pt idx="2">
                  <c:v>1.171875E-2</c:v>
                </c:pt>
                <c:pt idx="3">
                  <c:v>1.5625E-2</c:v>
                </c:pt>
                <c:pt idx="4">
                  <c:v>1.953125E-2</c:v>
                </c:pt>
                <c:pt idx="5">
                  <c:v>2.34375E-2</c:v>
                </c:pt>
                <c:pt idx="6">
                  <c:v>2.734375E-2</c:v>
                </c:pt>
                <c:pt idx="7">
                  <c:v>3.125E-2</c:v>
                </c:pt>
                <c:pt idx="8">
                  <c:v>3.515625E-2</c:v>
                </c:pt>
                <c:pt idx="9">
                  <c:v>3.90625E-2</c:v>
                </c:pt>
                <c:pt idx="10">
                  <c:v>4.296875E-2</c:v>
                </c:pt>
                <c:pt idx="11">
                  <c:v>4.6875E-2</c:v>
                </c:pt>
                <c:pt idx="12">
                  <c:v>5.078125E-2</c:v>
                </c:pt>
                <c:pt idx="13">
                  <c:v>5.46875E-2</c:v>
                </c:pt>
                <c:pt idx="14">
                  <c:v>5.859375E-2</c:v>
                </c:pt>
                <c:pt idx="15">
                  <c:v>6.25E-2</c:v>
                </c:pt>
                <c:pt idx="16">
                  <c:v>6.640625E-2</c:v>
                </c:pt>
                <c:pt idx="17">
                  <c:v>7.03125E-2</c:v>
                </c:pt>
                <c:pt idx="18">
                  <c:v>7.421875E-2</c:v>
                </c:pt>
                <c:pt idx="19">
                  <c:v>7.8125E-2</c:v>
                </c:pt>
                <c:pt idx="20">
                  <c:v>8.203125E-2</c:v>
                </c:pt>
                <c:pt idx="21">
                  <c:v>8.59375E-2</c:v>
                </c:pt>
                <c:pt idx="22">
                  <c:v>8.984375E-2</c:v>
                </c:pt>
                <c:pt idx="23">
                  <c:v>9.375E-2</c:v>
                </c:pt>
                <c:pt idx="24">
                  <c:v>9.765625E-2</c:v>
                </c:pt>
                <c:pt idx="25">
                  <c:v>0.1015625</c:v>
                </c:pt>
                <c:pt idx="26">
                  <c:v>0.10546875</c:v>
                </c:pt>
                <c:pt idx="27">
                  <c:v>0.109375</c:v>
                </c:pt>
                <c:pt idx="28">
                  <c:v>0.11328125</c:v>
                </c:pt>
                <c:pt idx="29">
                  <c:v>0.1171875</c:v>
                </c:pt>
                <c:pt idx="30">
                  <c:v>0.12109375</c:v>
                </c:pt>
                <c:pt idx="31">
                  <c:v>0.125</c:v>
                </c:pt>
                <c:pt idx="32">
                  <c:v>0.12890625</c:v>
                </c:pt>
                <c:pt idx="33">
                  <c:v>0.1328125</c:v>
                </c:pt>
                <c:pt idx="34">
                  <c:v>0.13671875</c:v>
                </c:pt>
                <c:pt idx="35">
                  <c:v>0.140625</c:v>
                </c:pt>
                <c:pt idx="36">
                  <c:v>0.14453125</c:v>
                </c:pt>
                <c:pt idx="37">
                  <c:v>0.1484375</c:v>
                </c:pt>
                <c:pt idx="38">
                  <c:v>0.15234375</c:v>
                </c:pt>
                <c:pt idx="39">
                  <c:v>0.15625</c:v>
                </c:pt>
                <c:pt idx="40">
                  <c:v>0.16015625</c:v>
                </c:pt>
                <c:pt idx="41">
                  <c:v>0.1640625</c:v>
                </c:pt>
                <c:pt idx="42">
                  <c:v>0.16796875</c:v>
                </c:pt>
                <c:pt idx="43">
                  <c:v>0.171875</c:v>
                </c:pt>
                <c:pt idx="44">
                  <c:v>0.17578125</c:v>
                </c:pt>
                <c:pt idx="45">
                  <c:v>0.1796875</c:v>
                </c:pt>
                <c:pt idx="46">
                  <c:v>0.18359375</c:v>
                </c:pt>
                <c:pt idx="47">
                  <c:v>0.1875</c:v>
                </c:pt>
                <c:pt idx="48">
                  <c:v>0.19140625</c:v>
                </c:pt>
                <c:pt idx="49">
                  <c:v>0.1953125</c:v>
                </c:pt>
                <c:pt idx="50">
                  <c:v>0.19921875</c:v>
                </c:pt>
                <c:pt idx="51">
                  <c:v>0.203125</c:v>
                </c:pt>
                <c:pt idx="52">
                  <c:v>0.20703125</c:v>
                </c:pt>
                <c:pt idx="53">
                  <c:v>0.2109375</c:v>
                </c:pt>
                <c:pt idx="54">
                  <c:v>0.21484375</c:v>
                </c:pt>
                <c:pt idx="55">
                  <c:v>0.21875</c:v>
                </c:pt>
                <c:pt idx="56">
                  <c:v>0.22265625</c:v>
                </c:pt>
                <c:pt idx="57">
                  <c:v>0.2265625</c:v>
                </c:pt>
                <c:pt idx="58">
                  <c:v>0.23046875</c:v>
                </c:pt>
                <c:pt idx="59">
                  <c:v>0.234375</c:v>
                </c:pt>
                <c:pt idx="60">
                  <c:v>0.23828125</c:v>
                </c:pt>
                <c:pt idx="61">
                  <c:v>0.2421875</c:v>
                </c:pt>
                <c:pt idx="62">
                  <c:v>0.24609375</c:v>
                </c:pt>
                <c:pt idx="63">
                  <c:v>0.25</c:v>
                </c:pt>
                <c:pt idx="64">
                  <c:v>0.25390625</c:v>
                </c:pt>
                <c:pt idx="65">
                  <c:v>0.2578125</c:v>
                </c:pt>
                <c:pt idx="66">
                  <c:v>0.26171875</c:v>
                </c:pt>
                <c:pt idx="67">
                  <c:v>0.265625</c:v>
                </c:pt>
                <c:pt idx="68">
                  <c:v>0.26953125</c:v>
                </c:pt>
                <c:pt idx="69">
                  <c:v>0.2734375</c:v>
                </c:pt>
                <c:pt idx="70">
                  <c:v>0.27734375</c:v>
                </c:pt>
                <c:pt idx="71">
                  <c:v>0.28125</c:v>
                </c:pt>
                <c:pt idx="72">
                  <c:v>0.28515625</c:v>
                </c:pt>
                <c:pt idx="73">
                  <c:v>0.2890625</c:v>
                </c:pt>
                <c:pt idx="74">
                  <c:v>0.29296875</c:v>
                </c:pt>
                <c:pt idx="75">
                  <c:v>0.296875</c:v>
                </c:pt>
                <c:pt idx="76">
                  <c:v>0.30078125</c:v>
                </c:pt>
                <c:pt idx="77">
                  <c:v>0.3046875</c:v>
                </c:pt>
                <c:pt idx="78">
                  <c:v>0.30859375</c:v>
                </c:pt>
                <c:pt idx="79">
                  <c:v>0.3125</c:v>
                </c:pt>
                <c:pt idx="80">
                  <c:v>0.31640625</c:v>
                </c:pt>
                <c:pt idx="81">
                  <c:v>0.3203125</c:v>
                </c:pt>
                <c:pt idx="82">
                  <c:v>0.32421875</c:v>
                </c:pt>
                <c:pt idx="83">
                  <c:v>0.328125</c:v>
                </c:pt>
                <c:pt idx="84">
                  <c:v>0.33203125</c:v>
                </c:pt>
                <c:pt idx="85">
                  <c:v>0.3359375</c:v>
                </c:pt>
                <c:pt idx="86">
                  <c:v>0.33984375</c:v>
                </c:pt>
                <c:pt idx="87">
                  <c:v>0.34375</c:v>
                </c:pt>
                <c:pt idx="88">
                  <c:v>0.34765625</c:v>
                </c:pt>
                <c:pt idx="89">
                  <c:v>0.3515625</c:v>
                </c:pt>
                <c:pt idx="90">
                  <c:v>0.35546875</c:v>
                </c:pt>
                <c:pt idx="91">
                  <c:v>0.359375</c:v>
                </c:pt>
                <c:pt idx="92">
                  <c:v>0.36328125</c:v>
                </c:pt>
                <c:pt idx="93">
                  <c:v>0.3671875</c:v>
                </c:pt>
                <c:pt idx="94">
                  <c:v>0.37109375</c:v>
                </c:pt>
                <c:pt idx="95">
                  <c:v>0.375</c:v>
                </c:pt>
                <c:pt idx="96">
                  <c:v>0.37890625</c:v>
                </c:pt>
                <c:pt idx="97">
                  <c:v>0.3828125</c:v>
                </c:pt>
                <c:pt idx="98">
                  <c:v>0.38671875</c:v>
                </c:pt>
                <c:pt idx="99">
                  <c:v>0.390625</c:v>
                </c:pt>
                <c:pt idx="100">
                  <c:v>0.39453125</c:v>
                </c:pt>
                <c:pt idx="101">
                  <c:v>0.3984375</c:v>
                </c:pt>
                <c:pt idx="102">
                  <c:v>0.40234375</c:v>
                </c:pt>
                <c:pt idx="103">
                  <c:v>0.40625</c:v>
                </c:pt>
                <c:pt idx="104">
                  <c:v>0.41015625</c:v>
                </c:pt>
                <c:pt idx="105">
                  <c:v>0.4140625</c:v>
                </c:pt>
                <c:pt idx="106">
                  <c:v>0.41796875</c:v>
                </c:pt>
                <c:pt idx="107">
                  <c:v>0.421875</c:v>
                </c:pt>
                <c:pt idx="108">
                  <c:v>0.42578125</c:v>
                </c:pt>
                <c:pt idx="109">
                  <c:v>0.4296875</c:v>
                </c:pt>
                <c:pt idx="110">
                  <c:v>0.43359375</c:v>
                </c:pt>
                <c:pt idx="111">
                  <c:v>0.4375</c:v>
                </c:pt>
                <c:pt idx="112">
                  <c:v>0.44140625</c:v>
                </c:pt>
                <c:pt idx="113">
                  <c:v>0.4453125</c:v>
                </c:pt>
                <c:pt idx="114">
                  <c:v>0.44921875</c:v>
                </c:pt>
                <c:pt idx="115">
                  <c:v>0.453125</c:v>
                </c:pt>
                <c:pt idx="116">
                  <c:v>0.45703125</c:v>
                </c:pt>
                <c:pt idx="117">
                  <c:v>0.4609375</c:v>
                </c:pt>
                <c:pt idx="118">
                  <c:v>0.46484375</c:v>
                </c:pt>
                <c:pt idx="119">
                  <c:v>0.46875</c:v>
                </c:pt>
                <c:pt idx="120">
                  <c:v>0.47265625</c:v>
                </c:pt>
                <c:pt idx="121">
                  <c:v>0.4765625</c:v>
                </c:pt>
                <c:pt idx="122">
                  <c:v>0.48046875</c:v>
                </c:pt>
                <c:pt idx="123">
                  <c:v>0.484375</c:v>
                </c:pt>
                <c:pt idx="124">
                  <c:v>0.48828125</c:v>
                </c:pt>
                <c:pt idx="125">
                  <c:v>0.4921875</c:v>
                </c:pt>
                <c:pt idx="126">
                  <c:v>0.49609375</c:v>
                </c:pt>
                <c:pt idx="127">
                  <c:v>0.5</c:v>
                </c:pt>
              </c:numCache>
            </c:numRef>
          </c:xVal>
          <c:yVal>
            <c:numRef>
              <c:f>'2.15a'!$F$6:$F$133</c:f>
              <c:numCache>
                <c:formatCode>General</c:formatCode>
                <c:ptCount val="128"/>
                <c:pt idx="0">
                  <c:v>186.05089672322384</c:v>
                </c:pt>
                <c:pt idx="1">
                  <c:v>207.89469012392095</c:v>
                </c:pt>
                <c:pt idx="2">
                  <c:v>465.81542633928575</c:v>
                </c:pt>
                <c:pt idx="3">
                  <c:v>210.08974923266049</c:v>
                </c:pt>
                <c:pt idx="4">
                  <c:v>180.7859244479676</c:v>
                </c:pt>
                <c:pt idx="5">
                  <c:v>102.42913466088228</c:v>
                </c:pt>
                <c:pt idx="6">
                  <c:v>12.171078503095357</c:v>
                </c:pt>
                <c:pt idx="7">
                  <c:v>11.854959475924915</c:v>
                </c:pt>
                <c:pt idx="8">
                  <c:v>46.607600181036425</c:v>
                </c:pt>
                <c:pt idx="9">
                  <c:v>28.891620688835367</c:v>
                </c:pt>
                <c:pt idx="10">
                  <c:v>7.3716743530039697</c:v>
                </c:pt>
                <c:pt idx="11">
                  <c:v>117.40882852825821</c:v>
                </c:pt>
                <c:pt idx="12">
                  <c:v>5.3072823561714024</c:v>
                </c:pt>
                <c:pt idx="13">
                  <c:v>22.470691816898821</c:v>
                </c:pt>
                <c:pt idx="14">
                  <c:v>12.857927016990603</c:v>
                </c:pt>
                <c:pt idx="15">
                  <c:v>18.890711551091112</c:v>
                </c:pt>
                <c:pt idx="16">
                  <c:v>135.13726799236829</c:v>
                </c:pt>
                <c:pt idx="17">
                  <c:v>112.00895480855463</c:v>
                </c:pt>
                <c:pt idx="18">
                  <c:v>23.049049870118285</c:v>
                </c:pt>
                <c:pt idx="19">
                  <c:v>15.565112166072081</c:v>
                </c:pt>
                <c:pt idx="20">
                  <c:v>80.145084647342642</c:v>
                </c:pt>
                <c:pt idx="21">
                  <c:v>630.26092050207444</c:v>
                </c:pt>
                <c:pt idx="22">
                  <c:v>1706.9435575531834</c:v>
                </c:pt>
                <c:pt idx="23">
                  <c:v>1493.9372969973242</c:v>
                </c:pt>
                <c:pt idx="24">
                  <c:v>369.46939160736804</c:v>
                </c:pt>
                <c:pt idx="25">
                  <c:v>464.63523763378333</c:v>
                </c:pt>
                <c:pt idx="26">
                  <c:v>99.459396001499087</c:v>
                </c:pt>
                <c:pt idx="27">
                  <c:v>80.308804489048669</c:v>
                </c:pt>
                <c:pt idx="28">
                  <c:v>187.63915476484186</c:v>
                </c:pt>
                <c:pt idx="29">
                  <c:v>224.69082062249919</c:v>
                </c:pt>
                <c:pt idx="30">
                  <c:v>60.925381838929766</c:v>
                </c:pt>
                <c:pt idx="31">
                  <c:v>101.20847738831104</c:v>
                </c:pt>
                <c:pt idx="32">
                  <c:v>58.688365554746191</c:v>
                </c:pt>
                <c:pt idx="33">
                  <c:v>69.274201483834176</c:v>
                </c:pt>
                <c:pt idx="34">
                  <c:v>10.407321606113623</c:v>
                </c:pt>
                <c:pt idx="35">
                  <c:v>22.42071665087574</c:v>
                </c:pt>
                <c:pt idx="36">
                  <c:v>1.9444532709336266</c:v>
                </c:pt>
                <c:pt idx="37">
                  <c:v>20.753544081588029</c:v>
                </c:pt>
                <c:pt idx="38">
                  <c:v>0.52705691536976551</c:v>
                </c:pt>
                <c:pt idx="39">
                  <c:v>6.3108399798132977</c:v>
                </c:pt>
                <c:pt idx="40">
                  <c:v>3.7639580935913561</c:v>
                </c:pt>
                <c:pt idx="41">
                  <c:v>13.814208699480107</c:v>
                </c:pt>
                <c:pt idx="42">
                  <c:v>16.407571935900908</c:v>
                </c:pt>
                <c:pt idx="43">
                  <c:v>25.342390925487102</c:v>
                </c:pt>
                <c:pt idx="44">
                  <c:v>57.573717862670513</c:v>
                </c:pt>
                <c:pt idx="45">
                  <c:v>2.6175495168140031</c:v>
                </c:pt>
                <c:pt idx="46">
                  <c:v>92.50364492291682</c:v>
                </c:pt>
                <c:pt idx="47">
                  <c:v>14.775400108371228</c:v>
                </c:pt>
                <c:pt idx="48">
                  <c:v>13.214271758168836</c:v>
                </c:pt>
                <c:pt idx="49">
                  <c:v>19.772801109431352</c:v>
                </c:pt>
                <c:pt idx="50">
                  <c:v>12.416019849398126</c:v>
                </c:pt>
                <c:pt idx="51">
                  <c:v>1.6674262705098362</c:v>
                </c:pt>
                <c:pt idx="52">
                  <c:v>37.970796245245033</c:v>
                </c:pt>
                <c:pt idx="53">
                  <c:v>0.20256717902842597</c:v>
                </c:pt>
                <c:pt idx="54">
                  <c:v>2.7317531289231063</c:v>
                </c:pt>
                <c:pt idx="55">
                  <c:v>13.500068950212393</c:v>
                </c:pt>
                <c:pt idx="56">
                  <c:v>6.7819268837977296</c:v>
                </c:pt>
                <c:pt idx="57">
                  <c:v>3.5250045873891582</c:v>
                </c:pt>
                <c:pt idx="58">
                  <c:v>5.1529978352196704</c:v>
                </c:pt>
                <c:pt idx="59">
                  <c:v>0.69424471942767618</c:v>
                </c:pt>
                <c:pt idx="60">
                  <c:v>8.4065591073906401</c:v>
                </c:pt>
                <c:pt idx="61">
                  <c:v>7.5206441799287091</c:v>
                </c:pt>
                <c:pt idx="62">
                  <c:v>5.796404246266726</c:v>
                </c:pt>
                <c:pt idx="63">
                  <c:v>4.0810064697265647</c:v>
                </c:pt>
                <c:pt idx="64">
                  <c:v>7.7857332777364743</c:v>
                </c:pt>
                <c:pt idx="65">
                  <c:v>8.1929757324437915</c:v>
                </c:pt>
                <c:pt idx="66">
                  <c:v>6.5263707891195899E-2</c:v>
                </c:pt>
                <c:pt idx="67">
                  <c:v>1.4089807129210297</c:v>
                </c:pt>
                <c:pt idx="68">
                  <c:v>3.305819346724753</c:v>
                </c:pt>
                <c:pt idx="69">
                  <c:v>2.4088688982134894</c:v>
                </c:pt>
                <c:pt idx="70">
                  <c:v>8.756054525522007</c:v>
                </c:pt>
                <c:pt idx="71">
                  <c:v>1.3022290476131135</c:v>
                </c:pt>
                <c:pt idx="72">
                  <c:v>3.6626118788493764</c:v>
                </c:pt>
                <c:pt idx="73">
                  <c:v>1.640671151431041</c:v>
                </c:pt>
                <c:pt idx="74">
                  <c:v>5.3557249984418709</c:v>
                </c:pt>
                <c:pt idx="75">
                  <c:v>1.3440590833940316</c:v>
                </c:pt>
                <c:pt idx="76">
                  <c:v>0.25988546401977569</c:v>
                </c:pt>
                <c:pt idx="77">
                  <c:v>1.9614534354410442</c:v>
                </c:pt>
                <c:pt idx="78">
                  <c:v>11.719813958451292</c:v>
                </c:pt>
                <c:pt idx="79">
                  <c:v>14.569657687806233</c:v>
                </c:pt>
                <c:pt idx="80">
                  <c:v>2.5709278728186642</c:v>
                </c:pt>
                <c:pt idx="81">
                  <c:v>2.5209249568076841</c:v>
                </c:pt>
                <c:pt idx="82">
                  <c:v>2.5917109786915344</c:v>
                </c:pt>
                <c:pt idx="83">
                  <c:v>8.2471248867971123E-2</c:v>
                </c:pt>
                <c:pt idx="84">
                  <c:v>0.19427780687339533</c:v>
                </c:pt>
                <c:pt idx="85">
                  <c:v>0.22931906784884368</c:v>
                </c:pt>
                <c:pt idx="86">
                  <c:v>0.99420672279045763</c:v>
                </c:pt>
                <c:pt idx="87">
                  <c:v>4.9071797557503354</c:v>
                </c:pt>
                <c:pt idx="88">
                  <c:v>2.7578649473546912</c:v>
                </c:pt>
                <c:pt idx="89">
                  <c:v>2.9348924248657267</c:v>
                </c:pt>
                <c:pt idx="90">
                  <c:v>2.9173295103345667</c:v>
                </c:pt>
                <c:pt idx="91">
                  <c:v>6.0739584059985532</c:v>
                </c:pt>
                <c:pt idx="92">
                  <c:v>1.6148884954426317</c:v>
                </c:pt>
                <c:pt idx="93">
                  <c:v>1.6638422241688346</c:v>
                </c:pt>
                <c:pt idx="94">
                  <c:v>0.27442621554416585</c:v>
                </c:pt>
                <c:pt idx="95">
                  <c:v>0.55517617614160997</c:v>
                </c:pt>
                <c:pt idx="96">
                  <c:v>2.9011328735315067</c:v>
                </c:pt>
                <c:pt idx="97">
                  <c:v>1.6116748275771611</c:v>
                </c:pt>
                <c:pt idx="98">
                  <c:v>0.40432796985070096</c:v>
                </c:pt>
                <c:pt idx="99">
                  <c:v>1.0355129749346565</c:v>
                </c:pt>
                <c:pt idx="100">
                  <c:v>2.970167161518845</c:v>
                </c:pt>
                <c:pt idx="101">
                  <c:v>1.9406541966336273</c:v>
                </c:pt>
                <c:pt idx="102">
                  <c:v>2.0877215359179724</c:v>
                </c:pt>
                <c:pt idx="103">
                  <c:v>1.3560177489676621</c:v>
                </c:pt>
                <c:pt idx="104">
                  <c:v>0.31234620213418041</c:v>
                </c:pt>
                <c:pt idx="105">
                  <c:v>0.82427494927345524</c:v>
                </c:pt>
                <c:pt idx="106">
                  <c:v>0.65932637476618594</c:v>
                </c:pt>
                <c:pt idx="107">
                  <c:v>3.6502467944922343</c:v>
                </c:pt>
                <c:pt idx="108">
                  <c:v>0.47407911081534521</c:v>
                </c:pt>
                <c:pt idx="109">
                  <c:v>4.4180859002664459</c:v>
                </c:pt>
                <c:pt idx="110">
                  <c:v>4.1059591464691687</c:v>
                </c:pt>
                <c:pt idx="111">
                  <c:v>0.47517059413767243</c:v>
                </c:pt>
                <c:pt idx="112">
                  <c:v>0.45087482097937731</c:v>
                </c:pt>
                <c:pt idx="113">
                  <c:v>0.87925656437393873</c:v>
                </c:pt>
                <c:pt idx="114">
                  <c:v>0.39169740816812565</c:v>
                </c:pt>
                <c:pt idx="115">
                  <c:v>0.65814358215163571</c:v>
                </c:pt>
                <c:pt idx="116">
                  <c:v>1.3303438416034781</c:v>
                </c:pt>
                <c:pt idx="117">
                  <c:v>4.3385833993639311</c:v>
                </c:pt>
                <c:pt idx="118">
                  <c:v>0.83449314466555291</c:v>
                </c:pt>
                <c:pt idx="119">
                  <c:v>5.6687859740794835</c:v>
                </c:pt>
                <c:pt idx="120">
                  <c:v>2.9342578840409859</c:v>
                </c:pt>
                <c:pt idx="121">
                  <c:v>0.38235823203246933</c:v>
                </c:pt>
                <c:pt idx="122">
                  <c:v>1.8012238707363573</c:v>
                </c:pt>
                <c:pt idx="123">
                  <c:v>0.65313351177416434</c:v>
                </c:pt>
                <c:pt idx="124">
                  <c:v>4.3995709247760679</c:v>
                </c:pt>
                <c:pt idx="125">
                  <c:v>2.2818965630650228</c:v>
                </c:pt>
                <c:pt idx="126">
                  <c:v>0.81861054695880553</c:v>
                </c:pt>
                <c:pt idx="127">
                  <c:v>0.20039611816407019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93-48F8-956B-C7CBEB02D2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6836360"/>
        <c:axId val="836844888"/>
      </c:scatterChart>
      <c:valAx>
        <c:axId val="8368363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6844888"/>
        <c:crosses val="autoZero"/>
        <c:crossBetween val="midCat"/>
      </c:valAx>
      <c:valAx>
        <c:axId val="83684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68363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'2.15a'!$F$4</c:f>
              <c:strCache>
                <c:ptCount val="1"/>
                <c:pt idx="0">
                  <c:v>Power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'2.15a'!$E$6:$E$260</c:f>
              <c:numCache>
                <c:formatCode>General</c:formatCode>
                <c:ptCount val="255"/>
                <c:pt idx="0">
                  <c:v>3.90625E-3</c:v>
                </c:pt>
                <c:pt idx="1">
                  <c:v>7.8125E-3</c:v>
                </c:pt>
                <c:pt idx="2">
                  <c:v>1.171875E-2</c:v>
                </c:pt>
                <c:pt idx="3">
                  <c:v>1.5625E-2</c:v>
                </c:pt>
                <c:pt idx="4">
                  <c:v>1.953125E-2</c:v>
                </c:pt>
                <c:pt idx="5">
                  <c:v>2.34375E-2</c:v>
                </c:pt>
                <c:pt idx="6">
                  <c:v>2.734375E-2</c:v>
                </c:pt>
                <c:pt idx="7">
                  <c:v>3.125E-2</c:v>
                </c:pt>
                <c:pt idx="8">
                  <c:v>3.515625E-2</c:v>
                </c:pt>
                <c:pt idx="9">
                  <c:v>3.90625E-2</c:v>
                </c:pt>
                <c:pt idx="10">
                  <c:v>4.296875E-2</c:v>
                </c:pt>
                <c:pt idx="11">
                  <c:v>4.6875E-2</c:v>
                </c:pt>
                <c:pt idx="12">
                  <c:v>5.078125E-2</c:v>
                </c:pt>
                <c:pt idx="13">
                  <c:v>5.46875E-2</c:v>
                </c:pt>
                <c:pt idx="14">
                  <c:v>5.859375E-2</c:v>
                </c:pt>
                <c:pt idx="15">
                  <c:v>6.25E-2</c:v>
                </c:pt>
                <c:pt idx="16">
                  <c:v>6.640625E-2</c:v>
                </c:pt>
                <c:pt idx="17">
                  <c:v>7.03125E-2</c:v>
                </c:pt>
                <c:pt idx="18">
                  <c:v>7.421875E-2</c:v>
                </c:pt>
                <c:pt idx="19">
                  <c:v>7.8125E-2</c:v>
                </c:pt>
                <c:pt idx="20">
                  <c:v>8.203125E-2</c:v>
                </c:pt>
                <c:pt idx="21">
                  <c:v>8.59375E-2</c:v>
                </c:pt>
                <c:pt idx="22">
                  <c:v>8.984375E-2</c:v>
                </c:pt>
                <c:pt idx="23">
                  <c:v>9.375E-2</c:v>
                </c:pt>
                <c:pt idx="24">
                  <c:v>9.765625E-2</c:v>
                </c:pt>
                <c:pt idx="25">
                  <c:v>0.1015625</c:v>
                </c:pt>
                <c:pt idx="26">
                  <c:v>0.10546875</c:v>
                </c:pt>
                <c:pt idx="27">
                  <c:v>0.109375</c:v>
                </c:pt>
                <c:pt idx="28">
                  <c:v>0.11328125</c:v>
                </c:pt>
                <c:pt idx="29">
                  <c:v>0.1171875</c:v>
                </c:pt>
                <c:pt idx="30">
                  <c:v>0.12109375</c:v>
                </c:pt>
                <c:pt idx="31">
                  <c:v>0.125</c:v>
                </c:pt>
                <c:pt idx="32">
                  <c:v>0.12890625</c:v>
                </c:pt>
                <c:pt idx="33">
                  <c:v>0.1328125</c:v>
                </c:pt>
                <c:pt idx="34">
                  <c:v>0.13671875</c:v>
                </c:pt>
                <c:pt idx="35">
                  <c:v>0.140625</c:v>
                </c:pt>
                <c:pt idx="36">
                  <c:v>0.14453125</c:v>
                </c:pt>
                <c:pt idx="37">
                  <c:v>0.1484375</c:v>
                </c:pt>
                <c:pt idx="38">
                  <c:v>0.15234375</c:v>
                </c:pt>
                <c:pt idx="39">
                  <c:v>0.15625</c:v>
                </c:pt>
                <c:pt idx="40">
                  <c:v>0.16015625</c:v>
                </c:pt>
                <c:pt idx="41">
                  <c:v>0.1640625</c:v>
                </c:pt>
                <c:pt idx="42">
                  <c:v>0.16796875</c:v>
                </c:pt>
                <c:pt idx="43">
                  <c:v>0.171875</c:v>
                </c:pt>
                <c:pt idx="44">
                  <c:v>0.17578125</c:v>
                </c:pt>
                <c:pt idx="45">
                  <c:v>0.1796875</c:v>
                </c:pt>
                <c:pt idx="46">
                  <c:v>0.18359375</c:v>
                </c:pt>
                <c:pt idx="47">
                  <c:v>0.1875</c:v>
                </c:pt>
                <c:pt idx="48">
                  <c:v>0.19140625</c:v>
                </c:pt>
                <c:pt idx="49">
                  <c:v>0.1953125</c:v>
                </c:pt>
                <c:pt idx="50">
                  <c:v>0.19921875</c:v>
                </c:pt>
                <c:pt idx="51">
                  <c:v>0.203125</c:v>
                </c:pt>
                <c:pt idx="52">
                  <c:v>0.20703125</c:v>
                </c:pt>
                <c:pt idx="53">
                  <c:v>0.2109375</c:v>
                </c:pt>
                <c:pt idx="54">
                  <c:v>0.21484375</c:v>
                </c:pt>
                <c:pt idx="55">
                  <c:v>0.21875</c:v>
                </c:pt>
                <c:pt idx="56">
                  <c:v>0.22265625</c:v>
                </c:pt>
                <c:pt idx="57">
                  <c:v>0.2265625</c:v>
                </c:pt>
                <c:pt idx="58">
                  <c:v>0.23046875</c:v>
                </c:pt>
                <c:pt idx="59">
                  <c:v>0.234375</c:v>
                </c:pt>
                <c:pt idx="60">
                  <c:v>0.23828125</c:v>
                </c:pt>
                <c:pt idx="61">
                  <c:v>0.2421875</c:v>
                </c:pt>
                <c:pt idx="62">
                  <c:v>0.24609375</c:v>
                </c:pt>
                <c:pt idx="63">
                  <c:v>0.25</c:v>
                </c:pt>
                <c:pt idx="64">
                  <c:v>0.25390625</c:v>
                </c:pt>
                <c:pt idx="65">
                  <c:v>0.2578125</c:v>
                </c:pt>
                <c:pt idx="66">
                  <c:v>0.26171875</c:v>
                </c:pt>
                <c:pt idx="67">
                  <c:v>0.265625</c:v>
                </c:pt>
                <c:pt idx="68">
                  <c:v>0.26953125</c:v>
                </c:pt>
                <c:pt idx="69">
                  <c:v>0.2734375</c:v>
                </c:pt>
                <c:pt idx="70">
                  <c:v>0.27734375</c:v>
                </c:pt>
                <c:pt idx="71">
                  <c:v>0.28125</c:v>
                </c:pt>
                <c:pt idx="72">
                  <c:v>0.28515625</c:v>
                </c:pt>
                <c:pt idx="73">
                  <c:v>0.2890625</c:v>
                </c:pt>
                <c:pt idx="74">
                  <c:v>0.29296875</c:v>
                </c:pt>
                <c:pt idx="75">
                  <c:v>0.296875</c:v>
                </c:pt>
                <c:pt idx="76">
                  <c:v>0.30078125</c:v>
                </c:pt>
                <c:pt idx="77">
                  <c:v>0.3046875</c:v>
                </c:pt>
                <c:pt idx="78">
                  <c:v>0.30859375</c:v>
                </c:pt>
                <c:pt idx="79">
                  <c:v>0.3125</c:v>
                </c:pt>
                <c:pt idx="80">
                  <c:v>0.31640625</c:v>
                </c:pt>
                <c:pt idx="81">
                  <c:v>0.3203125</c:v>
                </c:pt>
                <c:pt idx="82">
                  <c:v>0.32421875</c:v>
                </c:pt>
                <c:pt idx="83">
                  <c:v>0.328125</c:v>
                </c:pt>
                <c:pt idx="84">
                  <c:v>0.33203125</c:v>
                </c:pt>
                <c:pt idx="85">
                  <c:v>0.3359375</c:v>
                </c:pt>
                <c:pt idx="86">
                  <c:v>0.33984375</c:v>
                </c:pt>
                <c:pt idx="87">
                  <c:v>0.34375</c:v>
                </c:pt>
                <c:pt idx="88">
                  <c:v>0.34765625</c:v>
                </c:pt>
                <c:pt idx="89">
                  <c:v>0.3515625</c:v>
                </c:pt>
                <c:pt idx="90">
                  <c:v>0.35546875</c:v>
                </c:pt>
                <c:pt idx="91">
                  <c:v>0.359375</c:v>
                </c:pt>
                <c:pt idx="92">
                  <c:v>0.36328125</c:v>
                </c:pt>
                <c:pt idx="93">
                  <c:v>0.3671875</c:v>
                </c:pt>
                <c:pt idx="94">
                  <c:v>0.37109375</c:v>
                </c:pt>
                <c:pt idx="95">
                  <c:v>0.375</c:v>
                </c:pt>
                <c:pt idx="96">
                  <c:v>0.37890625</c:v>
                </c:pt>
                <c:pt idx="97">
                  <c:v>0.3828125</c:v>
                </c:pt>
                <c:pt idx="98">
                  <c:v>0.38671875</c:v>
                </c:pt>
                <c:pt idx="99">
                  <c:v>0.390625</c:v>
                </c:pt>
                <c:pt idx="100">
                  <c:v>0.39453125</c:v>
                </c:pt>
                <c:pt idx="101">
                  <c:v>0.3984375</c:v>
                </c:pt>
                <c:pt idx="102">
                  <c:v>0.40234375</c:v>
                </c:pt>
                <c:pt idx="103">
                  <c:v>0.40625</c:v>
                </c:pt>
                <c:pt idx="104">
                  <c:v>0.41015625</c:v>
                </c:pt>
                <c:pt idx="105">
                  <c:v>0.4140625</c:v>
                </c:pt>
                <c:pt idx="106">
                  <c:v>0.41796875</c:v>
                </c:pt>
                <c:pt idx="107">
                  <c:v>0.421875</c:v>
                </c:pt>
                <c:pt idx="108">
                  <c:v>0.42578125</c:v>
                </c:pt>
                <c:pt idx="109">
                  <c:v>0.4296875</c:v>
                </c:pt>
                <c:pt idx="110">
                  <c:v>0.43359375</c:v>
                </c:pt>
                <c:pt idx="111">
                  <c:v>0.4375</c:v>
                </c:pt>
                <c:pt idx="112">
                  <c:v>0.44140625</c:v>
                </c:pt>
                <c:pt idx="113">
                  <c:v>0.4453125</c:v>
                </c:pt>
                <c:pt idx="114">
                  <c:v>0.44921875</c:v>
                </c:pt>
                <c:pt idx="115">
                  <c:v>0.453125</c:v>
                </c:pt>
                <c:pt idx="116">
                  <c:v>0.45703125</c:v>
                </c:pt>
                <c:pt idx="117">
                  <c:v>0.4609375</c:v>
                </c:pt>
                <c:pt idx="118">
                  <c:v>0.46484375</c:v>
                </c:pt>
                <c:pt idx="119">
                  <c:v>0.46875</c:v>
                </c:pt>
                <c:pt idx="120">
                  <c:v>0.47265625</c:v>
                </c:pt>
                <c:pt idx="121">
                  <c:v>0.4765625</c:v>
                </c:pt>
                <c:pt idx="122">
                  <c:v>0.48046875</c:v>
                </c:pt>
                <c:pt idx="123">
                  <c:v>0.484375</c:v>
                </c:pt>
                <c:pt idx="124">
                  <c:v>0.48828125</c:v>
                </c:pt>
                <c:pt idx="125">
                  <c:v>0.4921875</c:v>
                </c:pt>
                <c:pt idx="126">
                  <c:v>0.49609375</c:v>
                </c:pt>
                <c:pt idx="127">
                  <c:v>0.5</c:v>
                </c:pt>
                <c:pt idx="128">
                  <c:v>0.50390625</c:v>
                </c:pt>
                <c:pt idx="129">
                  <c:v>0.5078125</c:v>
                </c:pt>
                <c:pt idx="130">
                  <c:v>0.51171875</c:v>
                </c:pt>
                <c:pt idx="131">
                  <c:v>0.515625</c:v>
                </c:pt>
                <c:pt idx="132">
                  <c:v>0.51953125</c:v>
                </c:pt>
                <c:pt idx="133">
                  <c:v>0.5234375</c:v>
                </c:pt>
                <c:pt idx="134">
                  <c:v>0.52734375</c:v>
                </c:pt>
                <c:pt idx="135">
                  <c:v>0.53125</c:v>
                </c:pt>
                <c:pt idx="136">
                  <c:v>0.53515625</c:v>
                </c:pt>
                <c:pt idx="137">
                  <c:v>0.5390625</c:v>
                </c:pt>
                <c:pt idx="138">
                  <c:v>0.54296875</c:v>
                </c:pt>
                <c:pt idx="139">
                  <c:v>0.546875</c:v>
                </c:pt>
                <c:pt idx="140">
                  <c:v>0.55078125</c:v>
                </c:pt>
                <c:pt idx="141">
                  <c:v>0.5546875</c:v>
                </c:pt>
                <c:pt idx="142">
                  <c:v>0.55859375</c:v>
                </c:pt>
                <c:pt idx="143">
                  <c:v>0.5625</c:v>
                </c:pt>
                <c:pt idx="144">
                  <c:v>0.56640625</c:v>
                </c:pt>
                <c:pt idx="145">
                  <c:v>0.5703125</c:v>
                </c:pt>
                <c:pt idx="146">
                  <c:v>0.57421875</c:v>
                </c:pt>
                <c:pt idx="147">
                  <c:v>0.578125</c:v>
                </c:pt>
                <c:pt idx="148">
                  <c:v>0.58203125</c:v>
                </c:pt>
                <c:pt idx="149">
                  <c:v>0.5859375</c:v>
                </c:pt>
                <c:pt idx="150">
                  <c:v>0.58984375</c:v>
                </c:pt>
                <c:pt idx="151">
                  <c:v>0.59375</c:v>
                </c:pt>
                <c:pt idx="152">
                  <c:v>0.59765625</c:v>
                </c:pt>
                <c:pt idx="153">
                  <c:v>0.6015625</c:v>
                </c:pt>
                <c:pt idx="154">
                  <c:v>0.60546875</c:v>
                </c:pt>
                <c:pt idx="155">
                  <c:v>0.609375</c:v>
                </c:pt>
                <c:pt idx="156">
                  <c:v>0.61328125</c:v>
                </c:pt>
                <c:pt idx="157">
                  <c:v>0.6171875</c:v>
                </c:pt>
                <c:pt idx="158">
                  <c:v>0.62109375</c:v>
                </c:pt>
                <c:pt idx="159">
                  <c:v>0.625</c:v>
                </c:pt>
                <c:pt idx="160">
                  <c:v>0.62890625</c:v>
                </c:pt>
                <c:pt idx="161">
                  <c:v>0.6328125</c:v>
                </c:pt>
                <c:pt idx="162">
                  <c:v>0.63671875</c:v>
                </c:pt>
                <c:pt idx="163">
                  <c:v>0.640625</c:v>
                </c:pt>
                <c:pt idx="164">
                  <c:v>0.64453125</c:v>
                </c:pt>
                <c:pt idx="165">
                  <c:v>0.6484375</c:v>
                </c:pt>
                <c:pt idx="166">
                  <c:v>0.65234375</c:v>
                </c:pt>
                <c:pt idx="167">
                  <c:v>0.65625</c:v>
                </c:pt>
                <c:pt idx="168">
                  <c:v>0.66015625</c:v>
                </c:pt>
                <c:pt idx="169">
                  <c:v>0.6640625</c:v>
                </c:pt>
                <c:pt idx="170">
                  <c:v>0.66796875</c:v>
                </c:pt>
                <c:pt idx="171">
                  <c:v>0.671875</c:v>
                </c:pt>
                <c:pt idx="172">
                  <c:v>0.67578125</c:v>
                </c:pt>
                <c:pt idx="173">
                  <c:v>0.6796875</c:v>
                </c:pt>
                <c:pt idx="174">
                  <c:v>0.68359375</c:v>
                </c:pt>
                <c:pt idx="175">
                  <c:v>0.6875</c:v>
                </c:pt>
                <c:pt idx="176">
                  <c:v>0.69140625</c:v>
                </c:pt>
                <c:pt idx="177">
                  <c:v>0.6953125</c:v>
                </c:pt>
                <c:pt idx="178">
                  <c:v>0.69921875</c:v>
                </c:pt>
                <c:pt idx="179">
                  <c:v>0.703125</c:v>
                </c:pt>
                <c:pt idx="180">
                  <c:v>0.70703125</c:v>
                </c:pt>
                <c:pt idx="181">
                  <c:v>0.7109375</c:v>
                </c:pt>
                <c:pt idx="182">
                  <c:v>0.71484375</c:v>
                </c:pt>
                <c:pt idx="183">
                  <c:v>0.71875</c:v>
                </c:pt>
                <c:pt idx="184">
                  <c:v>0.72265625</c:v>
                </c:pt>
                <c:pt idx="185">
                  <c:v>0.7265625</c:v>
                </c:pt>
                <c:pt idx="186">
                  <c:v>0.73046875</c:v>
                </c:pt>
                <c:pt idx="187">
                  <c:v>0.734375</c:v>
                </c:pt>
                <c:pt idx="188">
                  <c:v>0.73828125</c:v>
                </c:pt>
                <c:pt idx="189">
                  <c:v>0.7421875</c:v>
                </c:pt>
                <c:pt idx="190">
                  <c:v>0.74609375</c:v>
                </c:pt>
                <c:pt idx="191">
                  <c:v>0.75</c:v>
                </c:pt>
                <c:pt idx="192">
                  <c:v>0.75390625</c:v>
                </c:pt>
                <c:pt idx="193">
                  <c:v>0.7578125</c:v>
                </c:pt>
                <c:pt idx="194">
                  <c:v>0.76171875</c:v>
                </c:pt>
                <c:pt idx="195">
                  <c:v>0.765625</c:v>
                </c:pt>
                <c:pt idx="196">
                  <c:v>0.76953125</c:v>
                </c:pt>
                <c:pt idx="197">
                  <c:v>0.7734375</c:v>
                </c:pt>
                <c:pt idx="198">
                  <c:v>0.77734375</c:v>
                </c:pt>
                <c:pt idx="199">
                  <c:v>0.78125</c:v>
                </c:pt>
                <c:pt idx="200">
                  <c:v>0.78515625</c:v>
                </c:pt>
                <c:pt idx="201">
                  <c:v>0.7890625</c:v>
                </c:pt>
                <c:pt idx="202">
                  <c:v>0.79296875</c:v>
                </c:pt>
                <c:pt idx="203">
                  <c:v>0.796875</c:v>
                </c:pt>
                <c:pt idx="204">
                  <c:v>0.80078125</c:v>
                </c:pt>
                <c:pt idx="205">
                  <c:v>0.8046875</c:v>
                </c:pt>
                <c:pt idx="206">
                  <c:v>0.80859375</c:v>
                </c:pt>
                <c:pt idx="207">
                  <c:v>0.8125</c:v>
                </c:pt>
                <c:pt idx="208">
                  <c:v>0.81640625</c:v>
                </c:pt>
                <c:pt idx="209">
                  <c:v>0.8203125</c:v>
                </c:pt>
                <c:pt idx="210">
                  <c:v>0.82421875</c:v>
                </c:pt>
                <c:pt idx="211">
                  <c:v>0.828125</c:v>
                </c:pt>
                <c:pt idx="212">
                  <c:v>0.83203125</c:v>
                </c:pt>
                <c:pt idx="213">
                  <c:v>0.8359375</c:v>
                </c:pt>
                <c:pt idx="214">
                  <c:v>0.83984375</c:v>
                </c:pt>
                <c:pt idx="215">
                  <c:v>0.84375</c:v>
                </c:pt>
                <c:pt idx="216">
                  <c:v>0.84765625</c:v>
                </c:pt>
                <c:pt idx="217">
                  <c:v>0.8515625</c:v>
                </c:pt>
                <c:pt idx="218">
                  <c:v>0.85546875</c:v>
                </c:pt>
                <c:pt idx="219">
                  <c:v>0.859375</c:v>
                </c:pt>
                <c:pt idx="220">
                  <c:v>0.86328125</c:v>
                </c:pt>
                <c:pt idx="221">
                  <c:v>0.8671875</c:v>
                </c:pt>
                <c:pt idx="222">
                  <c:v>0.87109375</c:v>
                </c:pt>
                <c:pt idx="223">
                  <c:v>0.875</c:v>
                </c:pt>
                <c:pt idx="224">
                  <c:v>0.87890625</c:v>
                </c:pt>
                <c:pt idx="225">
                  <c:v>0.8828125</c:v>
                </c:pt>
                <c:pt idx="226">
                  <c:v>0.88671875</c:v>
                </c:pt>
                <c:pt idx="227">
                  <c:v>0.890625</c:v>
                </c:pt>
                <c:pt idx="228">
                  <c:v>0.89453125</c:v>
                </c:pt>
                <c:pt idx="229">
                  <c:v>0.8984375</c:v>
                </c:pt>
                <c:pt idx="230">
                  <c:v>0.90234375</c:v>
                </c:pt>
                <c:pt idx="231">
                  <c:v>0.90625</c:v>
                </c:pt>
                <c:pt idx="232">
                  <c:v>0.91015625</c:v>
                </c:pt>
                <c:pt idx="233">
                  <c:v>0.9140625</c:v>
                </c:pt>
                <c:pt idx="234">
                  <c:v>0.91796875</c:v>
                </c:pt>
                <c:pt idx="235">
                  <c:v>0.921875</c:v>
                </c:pt>
                <c:pt idx="236">
                  <c:v>0.92578125</c:v>
                </c:pt>
                <c:pt idx="237">
                  <c:v>0.9296875</c:v>
                </c:pt>
                <c:pt idx="238">
                  <c:v>0.93359375</c:v>
                </c:pt>
                <c:pt idx="239">
                  <c:v>0.9375</c:v>
                </c:pt>
                <c:pt idx="240">
                  <c:v>0.94140625</c:v>
                </c:pt>
                <c:pt idx="241">
                  <c:v>0.9453125</c:v>
                </c:pt>
                <c:pt idx="242">
                  <c:v>0.94921875</c:v>
                </c:pt>
                <c:pt idx="243">
                  <c:v>0.953125</c:v>
                </c:pt>
                <c:pt idx="244">
                  <c:v>0.95703125</c:v>
                </c:pt>
                <c:pt idx="245">
                  <c:v>0.9609375</c:v>
                </c:pt>
                <c:pt idx="246">
                  <c:v>0.96484375</c:v>
                </c:pt>
                <c:pt idx="247">
                  <c:v>0.96875</c:v>
                </c:pt>
                <c:pt idx="248">
                  <c:v>0.97265625</c:v>
                </c:pt>
                <c:pt idx="249">
                  <c:v>0.9765625</c:v>
                </c:pt>
                <c:pt idx="250">
                  <c:v>0.98046875</c:v>
                </c:pt>
                <c:pt idx="251">
                  <c:v>0.984375</c:v>
                </c:pt>
                <c:pt idx="252">
                  <c:v>0.98828125</c:v>
                </c:pt>
                <c:pt idx="253">
                  <c:v>0.9921875</c:v>
                </c:pt>
                <c:pt idx="254">
                  <c:v>0.99609375</c:v>
                </c:pt>
              </c:numCache>
            </c:numRef>
          </c:xVal>
          <c:yVal>
            <c:numRef>
              <c:f>'2.15a'!$F$6:$F$260</c:f>
              <c:numCache>
                <c:formatCode>General</c:formatCode>
                <c:ptCount val="255"/>
                <c:pt idx="0">
                  <c:v>186.05089672322384</c:v>
                </c:pt>
                <c:pt idx="1">
                  <c:v>207.89469012392095</c:v>
                </c:pt>
                <c:pt idx="2">
                  <c:v>465.81542633928575</c:v>
                </c:pt>
                <c:pt idx="3">
                  <c:v>210.08974923266049</c:v>
                </c:pt>
                <c:pt idx="4">
                  <c:v>180.7859244479676</c:v>
                </c:pt>
                <c:pt idx="5">
                  <c:v>102.42913466088228</c:v>
                </c:pt>
                <c:pt idx="6">
                  <c:v>12.171078503095357</c:v>
                </c:pt>
                <c:pt idx="7">
                  <c:v>11.854959475924915</c:v>
                </c:pt>
                <c:pt idx="8">
                  <c:v>46.607600181036425</c:v>
                </c:pt>
                <c:pt idx="9">
                  <c:v>28.891620688835367</c:v>
                </c:pt>
                <c:pt idx="10">
                  <c:v>7.3716743530039697</c:v>
                </c:pt>
                <c:pt idx="11">
                  <c:v>117.40882852825821</c:v>
                </c:pt>
                <c:pt idx="12">
                  <c:v>5.3072823561714024</c:v>
                </c:pt>
                <c:pt idx="13">
                  <c:v>22.470691816898821</c:v>
                </c:pt>
                <c:pt idx="14">
                  <c:v>12.857927016990603</c:v>
                </c:pt>
                <c:pt idx="15">
                  <c:v>18.890711551091112</c:v>
                </c:pt>
                <c:pt idx="16">
                  <c:v>135.13726799236829</c:v>
                </c:pt>
                <c:pt idx="17">
                  <c:v>112.00895480855463</c:v>
                </c:pt>
                <c:pt idx="18">
                  <c:v>23.049049870118285</c:v>
                </c:pt>
                <c:pt idx="19">
                  <c:v>15.565112166072081</c:v>
                </c:pt>
                <c:pt idx="20">
                  <c:v>80.145084647342642</c:v>
                </c:pt>
                <c:pt idx="21">
                  <c:v>630.26092050207444</c:v>
                </c:pt>
                <c:pt idx="22">
                  <c:v>1706.9435575531834</c:v>
                </c:pt>
                <c:pt idx="23">
                  <c:v>1493.9372969973242</c:v>
                </c:pt>
                <c:pt idx="24">
                  <c:v>369.46939160736804</c:v>
                </c:pt>
                <c:pt idx="25">
                  <c:v>464.63523763378333</c:v>
                </c:pt>
                <c:pt idx="26">
                  <c:v>99.459396001499087</c:v>
                </c:pt>
                <c:pt idx="27">
                  <c:v>80.308804489048669</c:v>
                </c:pt>
                <c:pt idx="28">
                  <c:v>187.63915476484186</c:v>
                </c:pt>
                <c:pt idx="29">
                  <c:v>224.69082062249919</c:v>
                </c:pt>
                <c:pt idx="30">
                  <c:v>60.925381838929766</c:v>
                </c:pt>
                <c:pt idx="31">
                  <c:v>101.20847738831104</c:v>
                </c:pt>
                <c:pt idx="32">
                  <c:v>58.688365554746191</c:v>
                </c:pt>
                <c:pt idx="33">
                  <c:v>69.274201483834176</c:v>
                </c:pt>
                <c:pt idx="34">
                  <c:v>10.407321606113623</c:v>
                </c:pt>
                <c:pt idx="35">
                  <c:v>22.42071665087574</c:v>
                </c:pt>
                <c:pt idx="36">
                  <c:v>1.9444532709336266</c:v>
                </c:pt>
                <c:pt idx="37">
                  <c:v>20.753544081588029</c:v>
                </c:pt>
                <c:pt idx="38">
                  <c:v>0.52705691536976551</c:v>
                </c:pt>
                <c:pt idx="39">
                  <c:v>6.3108399798132977</c:v>
                </c:pt>
                <c:pt idx="40">
                  <c:v>3.7639580935913561</c:v>
                </c:pt>
                <c:pt idx="41">
                  <c:v>13.814208699480107</c:v>
                </c:pt>
                <c:pt idx="42">
                  <c:v>16.407571935900908</c:v>
                </c:pt>
                <c:pt idx="43">
                  <c:v>25.342390925487102</c:v>
                </c:pt>
                <c:pt idx="44">
                  <c:v>57.573717862670513</c:v>
                </c:pt>
                <c:pt idx="45">
                  <c:v>2.6175495168140031</c:v>
                </c:pt>
                <c:pt idx="46">
                  <c:v>92.50364492291682</c:v>
                </c:pt>
                <c:pt idx="47">
                  <c:v>14.775400108371228</c:v>
                </c:pt>
                <c:pt idx="48">
                  <c:v>13.214271758168836</c:v>
                </c:pt>
                <c:pt idx="49">
                  <c:v>19.772801109431352</c:v>
                </c:pt>
                <c:pt idx="50">
                  <c:v>12.416019849398126</c:v>
                </c:pt>
                <c:pt idx="51">
                  <c:v>1.6674262705098362</c:v>
                </c:pt>
                <c:pt idx="52">
                  <c:v>37.970796245245033</c:v>
                </c:pt>
                <c:pt idx="53">
                  <c:v>0.20256717902842597</c:v>
                </c:pt>
                <c:pt idx="54">
                  <c:v>2.7317531289231063</c:v>
                </c:pt>
                <c:pt idx="55">
                  <c:v>13.500068950212393</c:v>
                </c:pt>
                <c:pt idx="56">
                  <c:v>6.7819268837977296</c:v>
                </c:pt>
                <c:pt idx="57">
                  <c:v>3.5250045873891582</c:v>
                </c:pt>
                <c:pt idx="58">
                  <c:v>5.1529978352196704</c:v>
                </c:pt>
                <c:pt idx="59">
                  <c:v>0.69424471942767618</c:v>
                </c:pt>
                <c:pt idx="60">
                  <c:v>8.4065591073906401</c:v>
                </c:pt>
                <c:pt idx="61">
                  <c:v>7.5206441799287091</c:v>
                </c:pt>
                <c:pt idx="62">
                  <c:v>5.796404246266726</c:v>
                </c:pt>
                <c:pt idx="63">
                  <c:v>4.0810064697265647</c:v>
                </c:pt>
                <c:pt idx="64">
                  <c:v>7.7857332777364743</c:v>
                </c:pt>
                <c:pt idx="65">
                  <c:v>8.1929757324437915</c:v>
                </c:pt>
                <c:pt idx="66">
                  <c:v>6.5263707891195899E-2</c:v>
                </c:pt>
                <c:pt idx="67">
                  <c:v>1.4089807129210297</c:v>
                </c:pt>
                <c:pt idx="68">
                  <c:v>3.305819346724753</c:v>
                </c:pt>
                <c:pt idx="69">
                  <c:v>2.4088688982134894</c:v>
                </c:pt>
                <c:pt idx="70">
                  <c:v>8.756054525522007</c:v>
                </c:pt>
                <c:pt idx="71">
                  <c:v>1.3022290476131135</c:v>
                </c:pt>
                <c:pt idx="72">
                  <c:v>3.6626118788493764</c:v>
                </c:pt>
                <c:pt idx="73">
                  <c:v>1.640671151431041</c:v>
                </c:pt>
                <c:pt idx="74">
                  <c:v>5.3557249984418709</c:v>
                </c:pt>
                <c:pt idx="75">
                  <c:v>1.3440590833940316</c:v>
                </c:pt>
                <c:pt idx="76">
                  <c:v>0.25988546401977569</c:v>
                </c:pt>
                <c:pt idx="77">
                  <c:v>1.9614534354410442</c:v>
                </c:pt>
                <c:pt idx="78">
                  <c:v>11.719813958451292</c:v>
                </c:pt>
                <c:pt idx="79">
                  <c:v>14.569657687806233</c:v>
                </c:pt>
                <c:pt idx="80">
                  <c:v>2.5709278728186642</c:v>
                </c:pt>
                <c:pt idx="81">
                  <c:v>2.5209249568076841</c:v>
                </c:pt>
                <c:pt idx="82">
                  <c:v>2.5917109786915344</c:v>
                </c:pt>
                <c:pt idx="83">
                  <c:v>8.2471248867971123E-2</c:v>
                </c:pt>
                <c:pt idx="84">
                  <c:v>0.19427780687339533</c:v>
                </c:pt>
                <c:pt idx="85">
                  <c:v>0.22931906784884368</c:v>
                </c:pt>
                <c:pt idx="86">
                  <c:v>0.99420672279045763</c:v>
                </c:pt>
                <c:pt idx="87">
                  <c:v>4.9071797557503354</c:v>
                </c:pt>
                <c:pt idx="88">
                  <c:v>2.7578649473546912</c:v>
                </c:pt>
                <c:pt idx="89">
                  <c:v>2.9348924248657267</c:v>
                </c:pt>
                <c:pt idx="90">
                  <c:v>2.9173295103345667</c:v>
                </c:pt>
                <c:pt idx="91">
                  <c:v>6.0739584059985532</c:v>
                </c:pt>
                <c:pt idx="92">
                  <c:v>1.6148884954426317</c:v>
                </c:pt>
                <c:pt idx="93">
                  <c:v>1.6638422241688346</c:v>
                </c:pt>
                <c:pt idx="94">
                  <c:v>0.27442621554416585</c:v>
                </c:pt>
                <c:pt idx="95">
                  <c:v>0.55517617614160997</c:v>
                </c:pt>
                <c:pt idx="96">
                  <c:v>2.9011328735315067</c:v>
                </c:pt>
                <c:pt idx="97">
                  <c:v>1.6116748275771611</c:v>
                </c:pt>
                <c:pt idx="98">
                  <c:v>0.40432796985070096</c:v>
                </c:pt>
                <c:pt idx="99">
                  <c:v>1.0355129749346565</c:v>
                </c:pt>
                <c:pt idx="100">
                  <c:v>2.970167161518845</c:v>
                </c:pt>
                <c:pt idx="101">
                  <c:v>1.9406541966336273</c:v>
                </c:pt>
                <c:pt idx="102">
                  <c:v>2.0877215359179724</c:v>
                </c:pt>
                <c:pt idx="103">
                  <c:v>1.3560177489676621</c:v>
                </c:pt>
                <c:pt idx="104">
                  <c:v>0.31234620213418041</c:v>
                </c:pt>
                <c:pt idx="105">
                  <c:v>0.82427494927345524</c:v>
                </c:pt>
                <c:pt idx="106">
                  <c:v>0.65932637476618594</c:v>
                </c:pt>
                <c:pt idx="107">
                  <c:v>3.6502467944922343</c:v>
                </c:pt>
                <c:pt idx="108">
                  <c:v>0.47407911081534521</c:v>
                </c:pt>
                <c:pt idx="109">
                  <c:v>4.4180859002664459</c:v>
                </c:pt>
                <c:pt idx="110">
                  <c:v>4.1059591464691687</c:v>
                </c:pt>
                <c:pt idx="111">
                  <c:v>0.47517059413767243</c:v>
                </c:pt>
                <c:pt idx="112">
                  <c:v>0.45087482097937731</c:v>
                </c:pt>
                <c:pt idx="113">
                  <c:v>0.87925656437393873</c:v>
                </c:pt>
                <c:pt idx="114">
                  <c:v>0.39169740816812565</c:v>
                </c:pt>
                <c:pt idx="115">
                  <c:v>0.65814358215163571</c:v>
                </c:pt>
                <c:pt idx="116">
                  <c:v>1.3303438416034781</c:v>
                </c:pt>
                <c:pt idx="117">
                  <c:v>4.3385833993639311</c:v>
                </c:pt>
                <c:pt idx="118">
                  <c:v>0.83449314466555291</c:v>
                </c:pt>
                <c:pt idx="119">
                  <c:v>5.6687859740794835</c:v>
                </c:pt>
                <c:pt idx="120">
                  <c:v>2.9342578840409859</c:v>
                </c:pt>
                <c:pt idx="121">
                  <c:v>0.38235823203246933</c:v>
                </c:pt>
                <c:pt idx="122">
                  <c:v>1.8012238707363573</c:v>
                </c:pt>
                <c:pt idx="123">
                  <c:v>0.65313351177416434</c:v>
                </c:pt>
                <c:pt idx="124">
                  <c:v>4.3995709247760679</c:v>
                </c:pt>
                <c:pt idx="125">
                  <c:v>2.2818965630650228</c:v>
                </c:pt>
                <c:pt idx="126">
                  <c:v>0.81861054695880553</c:v>
                </c:pt>
                <c:pt idx="127">
                  <c:v>0.20039611816407019</c:v>
                </c:pt>
                <c:pt idx="128">
                  <c:v>0.81861054695882041</c:v>
                </c:pt>
                <c:pt idx="129">
                  <c:v>2.2818965630649859</c:v>
                </c:pt>
                <c:pt idx="130">
                  <c:v>4.3995709247761647</c:v>
                </c:pt>
                <c:pt idx="131">
                  <c:v>0.65313351177418111</c:v>
                </c:pt>
                <c:pt idx="132">
                  <c:v>1.8012238707363364</c:v>
                </c:pt>
                <c:pt idx="133">
                  <c:v>0.38235823203246783</c:v>
                </c:pt>
                <c:pt idx="134">
                  <c:v>2.9342578840409859</c:v>
                </c:pt>
                <c:pt idx="135">
                  <c:v>5.6687859740794666</c:v>
                </c:pt>
                <c:pt idx="136">
                  <c:v>0.83449314466553992</c:v>
                </c:pt>
                <c:pt idx="137">
                  <c:v>4.3385833993639418</c:v>
                </c:pt>
                <c:pt idx="138">
                  <c:v>1.3303438416034852</c:v>
                </c:pt>
                <c:pt idx="139">
                  <c:v>0.65814358215163804</c:v>
                </c:pt>
                <c:pt idx="140">
                  <c:v>0.39169740816812793</c:v>
                </c:pt>
                <c:pt idx="141">
                  <c:v>0.8792565643739304</c:v>
                </c:pt>
                <c:pt idx="142">
                  <c:v>0.45087482097937864</c:v>
                </c:pt>
                <c:pt idx="143">
                  <c:v>0.47517059413767965</c:v>
                </c:pt>
                <c:pt idx="144">
                  <c:v>4.1059591464692149</c:v>
                </c:pt>
                <c:pt idx="145">
                  <c:v>4.4180859002664086</c:v>
                </c:pt>
                <c:pt idx="146">
                  <c:v>0.47407911081534182</c:v>
                </c:pt>
                <c:pt idx="147">
                  <c:v>3.6502467944922383</c:v>
                </c:pt>
                <c:pt idx="148">
                  <c:v>0.65932637476618672</c:v>
                </c:pt>
                <c:pt idx="149">
                  <c:v>0.824274949273469</c:v>
                </c:pt>
                <c:pt idx="150">
                  <c:v>0.31234620213418596</c:v>
                </c:pt>
                <c:pt idx="151">
                  <c:v>1.3560177489676186</c:v>
                </c:pt>
                <c:pt idx="152">
                  <c:v>2.087721535917991</c:v>
                </c:pt>
                <c:pt idx="153">
                  <c:v>1.9406541966336546</c:v>
                </c:pt>
                <c:pt idx="154">
                  <c:v>2.9701671615188472</c:v>
                </c:pt>
                <c:pt idx="155">
                  <c:v>1.035512974934667</c:v>
                </c:pt>
                <c:pt idx="156">
                  <c:v>0.40432796985069785</c:v>
                </c:pt>
                <c:pt idx="157">
                  <c:v>1.6116748275771431</c:v>
                </c:pt>
                <c:pt idx="158">
                  <c:v>2.9011328735315227</c:v>
                </c:pt>
                <c:pt idx="159">
                  <c:v>0.55517617614159398</c:v>
                </c:pt>
                <c:pt idx="160">
                  <c:v>0.27442621554416724</c:v>
                </c:pt>
                <c:pt idx="161">
                  <c:v>1.663842224168836</c:v>
                </c:pt>
                <c:pt idx="162">
                  <c:v>1.6148884954426159</c:v>
                </c:pt>
                <c:pt idx="163">
                  <c:v>6.0739584059985621</c:v>
                </c:pt>
                <c:pt idx="164">
                  <c:v>2.9173295103345502</c:v>
                </c:pt>
                <c:pt idx="165">
                  <c:v>2.9348924248657005</c:v>
                </c:pt>
                <c:pt idx="166">
                  <c:v>2.7578649473546792</c:v>
                </c:pt>
                <c:pt idx="167">
                  <c:v>4.907179755750473</c:v>
                </c:pt>
                <c:pt idx="168">
                  <c:v>0.99420672279043631</c:v>
                </c:pt>
                <c:pt idx="169">
                  <c:v>0.22931906784884462</c:v>
                </c:pt>
                <c:pt idx="170">
                  <c:v>0.19427780687339435</c:v>
                </c:pt>
                <c:pt idx="171">
                  <c:v>8.2471248867970318E-2</c:v>
                </c:pt>
                <c:pt idx="172">
                  <c:v>2.5917109786915438</c:v>
                </c:pt>
                <c:pt idx="173">
                  <c:v>2.5209249568076793</c:v>
                </c:pt>
                <c:pt idx="174">
                  <c:v>2.5709278728186624</c:v>
                </c:pt>
                <c:pt idx="175">
                  <c:v>14.569657687806277</c:v>
                </c:pt>
                <c:pt idx="176">
                  <c:v>11.719813958451216</c:v>
                </c:pt>
                <c:pt idx="177">
                  <c:v>1.9614534354410469</c:v>
                </c:pt>
                <c:pt idx="178">
                  <c:v>0.2598854640197733</c:v>
                </c:pt>
                <c:pt idx="179">
                  <c:v>1.3440590833940269</c:v>
                </c:pt>
                <c:pt idx="180">
                  <c:v>5.3557249984418833</c:v>
                </c:pt>
                <c:pt idx="181">
                  <c:v>1.6406711514310552</c:v>
                </c:pt>
                <c:pt idx="182">
                  <c:v>3.6626118788493347</c:v>
                </c:pt>
                <c:pt idx="183">
                  <c:v>1.3022290476131246</c:v>
                </c:pt>
                <c:pt idx="184">
                  <c:v>8.7560545255220159</c:v>
                </c:pt>
                <c:pt idx="185">
                  <c:v>2.4088688982134823</c:v>
                </c:pt>
                <c:pt idx="186">
                  <c:v>3.305819346724753</c:v>
                </c:pt>
                <c:pt idx="187">
                  <c:v>1.4089807129210417</c:v>
                </c:pt>
                <c:pt idx="188">
                  <c:v>6.5263707891201825E-2</c:v>
                </c:pt>
                <c:pt idx="189">
                  <c:v>8.1929757324438235</c:v>
                </c:pt>
                <c:pt idx="190">
                  <c:v>7.7857332777365409</c:v>
                </c:pt>
                <c:pt idx="191">
                  <c:v>4.0810064697265647</c:v>
                </c:pt>
                <c:pt idx="192">
                  <c:v>5.7964042462668095</c:v>
                </c:pt>
                <c:pt idx="193">
                  <c:v>7.5206441799286896</c:v>
                </c:pt>
                <c:pt idx="194">
                  <c:v>8.4065591073906933</c:v>
                </c:pt>
                <c:pt idx="195">
                  <c:v>0.69424471942768584</c:v>
                </c:pt>
                <c:pt idx="196">
                  <c:v>5.1529978352196739</c:v>
                </c:pt>
                <c:pt idx="197">
                  <c:v>3.5250045873891516</c:v>
                </c:pt>
                <c:pt idx="198">
                  <c:v>6.7819268837977669</c:v>
                </c:pt>
                <c:pt idx="199">
                  <c:v>13.500068950212498</c:v>
                </c:pt>
                <c:pt idx="200">
                  <c:v>2.731753128923021</c:v>
                </c:pt>
                <c:pt idx="201">
                  <c:v>0.2025671790284396</c:v>
                </c:pt>
                <c:pt idx="202">
                  <c:v>37.970796245245083</c:v>
                </c:pt>
                <c:pt idx="203">
                  <c:v>1.6674262705098306</c:v>
                </c:pt>
                <c:pt idx="204">
                  <c:v>12.416019849398134</c:v>
                </c:pt>
                <c:pt idx="205">
                  <c:v>19.772801109431409</c:v>
                </c:pt>
                <c:pt idx="206">
                  <c:v>13.214271758168875</c:v>
                </c:pt>
                <c:pt idx="207">
                  <c:v>14.775400108371221</c:v>
                </c:pt>
                <c:pt idx="208">
                  <c:v>92.50364492291655</c:v>
                </c:pt>
                <c:pt idx="209">
                  <c:v>2.6175495168140217</c:v>
                </c:pt>
                <c:pt idx="210">
                  <c:v>57.573717862670591</c:v>
                </c:pt>
                <c:pt idx="211">
                  <c:v>25.342390925487173</c:v>
                </c:pt>
                <c:pt idx="212">
                  <c:v>16.407571935900943</c:v>
                </c:pt>
                <c:pt idx="213">
                  <c:v>13.814208699480014</c:v>
                </c:pt>
                <c:pt idx="214">
                  <c:v>3.7639580935912993</c:v>
                </c:pt>
                <c:pt idx="215">
                  <c:v>6.3108399798130872</c:v>
                </c:pt>
                <c:pt idx="216">
                  <c:v>0.52705691536975008</c:v>
                </c:pt>
                <c:pt idx="217">
                  <c:v>20.753544081588117</c:v>
                </c:pt>
                <c:pt idx="218">
                  <c:v>1.9444532709335927</c:v>
                </c:pt>
                <c:pt idx="219">
                  <c:v>22.420716650875697</c:v>
                </c:pt>
                <c:pt idx="220">
                  <c:v>10.407321606113765</c:v>
                </c:pt>
                <c:pt idx="221">
                  <c:v>69.27420148383537</c:v>
                </c:pt>
                <c:pt idx="222">
                  <c:v>58.68836555474644</c:v>
                </c:pt>
                <c:pt idx="223">
                  <c:v>101.20847738831121</c:v>
                </c:pt>
                <c:pt idx="224">
                  <c:v>60.925381838929944</c:v>
                </c:pt>
                <c:pt idx="225">
                  <c:v>224.6908206224993</c:v>
                </c:pt>
                <c:pt idx="226">
                  <c:v>187.63915476484195</c:v>
                </c:pt>
                <c:pt idx="227">
                  <c:v>80.308804489048711</c:v>
                </c:pt>
                <c:pt idx="228">
                  <c:v>99.459396001499059</c:v>
                </c:pt>
                <c:pt idx="229">
                  <c:v>464.63523763378362</c:v>
                </c:pt>
                <c:pt idx="230">
                  <c:v>369.46939160736883</c:v>
                </c:pt>
                <c:pt idx="231">
                  <c:v>1493.9372969973247</c:v>
                </c:pt>
                <c:pt idx="232">
                  <c:v>1706.9435575531822</c:v>
                </c:pt>
                <c:pt idx="233">
                  <c:v>630.26092050207512</c:v>
                </c:pt>
                <c:pt idx="234">
                  <c:v>80.145084647342685</c:v>
                </c:pt>
                <c:pt idx="235">
                  <c:v>15.565112166072113</c:v>
                </c:pt>
                <c:pt idx="236">
                  <c:v>23.049049870118388</c:v>
                </c:pt>
                <c:pt idx="237">
                  <c:v>112.00895480855466</c:v>
                </c:pt>
                <c:pt idx="238">
                  <c:v>135.13726799236835</c:v>
                </c:pt>
                <c:pt idx="239">
                  <c:v>18.890711551091066</c:v>
                </c:pt>
                <c:pt idx="240">
                  <c:v>12.857927016990494</c:v>
                </c:pt>
                <c:pt idx="241">
                  <c:v>22.470691816898889</c:v>
                </c:pt>
                <c:pt idx="242">
                  <c:v>5.3072823561715001</c:v>
                </c:pt>
                <c:pt idx="243">
                  <c:v>117.40882852825828</c:v>
                </c:pt>
                <c:pt idx="244">
                  <c:v>7.3716743530039626</c:v>
                </c:pt>
                <c:pt idx="245">
                  <c:v>28.891620688835662</c:v>
                </c:pt>
                <c:pt idx="246">
                  <c:v>46.607600181036482</c:v>
                </c:pt>
                <c:pt idx="247">
                  <c:v>11.854959475924931</c:v>
                </c:pt>
                <c:pt idx="248">
                  <c:v>12.171078503095215</c:v>
                </c:pt>
                <c:pt idx="249">
                  <c:v>102.42913466088386</c:v>
                </c:pt>
                <c:pt idx="250">
                  <c:v>180.7859244479678</c:v>
                </c:pt>
                <c:pt idx="251">
                  <c:v>210.08974923266172</c:v>
                </c:pt>
                <c:pt idx="252">
                  <c:v>465.81542633928899</c:v>
                </c:pt>
                <c:pt idx="253">
                  <c:v>207.89469012392146</c:v>
                </c:pt>
                <c:pt idx="254">
                  <c:v>186.05089672322273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7D-4819-B2A9-2A629604CF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6836360"/>
        <c:axId val="836844888"/>
      </c:scatterChart>
      <c:valAx>
        <c:axId val="836836360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6844888"/>
        <c:crosses val="autoZero"/>
        <c:crossBetween val="midCat"/>
      </c:valAx>
      <c:valAx>
        <c:axId val="83684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68363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561975</xdr:colOff>
      <xdr:row>1</xdr:row>
      <xdr:rowOff>9525</xdr:rowOff>
    </xdr:from>
    <xdr:ext cx="11323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DA408D73-DD0E-4F46-B22F-8D9F89DAB621}"/>
                </a:ext>
              </a:extLst>
            </xdr:cNvPr>
            <xdr:cNvSpPr txBox="1"/>
          </xdr:nvSpPr>
          <xdr:spPr>
            <a:xfrm>
              <a:off x="6048375" y="200025"/>
              <a:ext cx="11323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n-GB" sz="1100" b="1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GB" sz="1100" b="1" i="1">
                            <a:latin typeface="Cambria Math" panose="02040503050406030204" pitchFamily="18" charset="0"/>
                          </a:rPr>
                          <m:t>𝒙</m:t>
                        </m:r>
                      </m:e>
                    </m:acc>
                  </m:oMath>
                </m:oMathPara>
              </a14:m>
              <a:endParaRPr lang="en-GB" sz="1100" b="1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DA408D73-DD0E-4F46-B22F-8D9F89DAB621}"/>
                </a:ext>
              </a:extLst>
            </xdr:cNvPr>
            <xdr:cNvSpPr txBox="1"/>
          </xdr:nvSpPr>
          <xdr:spPr>
            <a:xfrm>
              <a:off x="6048375" y="200025"/>
              <a:ext cx="11323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1" i="0">
                  <a:latin typeface="Cambria Math" panose="02040503050406030204" pitchFamily="18" charset="0"/>
                </a:rPr>
                <a:t>𝒙 ̅</a:t>
              </a:r>
              <a:endParaRPr lang="en-GB" sz="1100" b="1"/>
            </a:p>
          </xdr:txBody>
        </xdr:sp>
      </mc:Fallback>
    </mc:AlternateContent>
    <xdr:clientData/>
  </xdr:oneCellAnchor>
  <xdr:oneCellAnchor>
    <xdr:from>
      <xdr:col>10</xdr:col>
      <xdr:colOff>129318</xdr:colOff>
      <xdr:row>1</xdr:row>
      <xdr:rowOff>9525</xdr:rowOff>
    </xdr:from>
    <xdr:ext cx="36272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E79AA090-C532-4F15-BDA3-E7A85F7AE86E}"/>
                </a:ext>
              </a:extLst>
            </xdr:cNvPr>
            <xdr:cNvSpPr txBox="1"/>
          </xdr:nvSpPr>
          <xdr:spPr>
            <a:xfrm>
              <a:off x="6908059" y="200720"/>
              <a:ext cx="36272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100" b="1" i="1">
                        <a:latin typeface="Cambria Math" panose="02040503050406030204" pitchFamily="18" charset="0"/>
                      </a:rPr>
                      <m:t>𝒙</m:t>
                    </m:r>
                    <m:r>
                      <a:rPr lang="en-GB" sz="1100" b="1" i="1">
                        <a:latin typeface="Cambria Math" panose="02040503050406030204" pitchFamily="18" charset="0"/>
                      </a:rPr>
                      <m:t>−</m:t>
                    </m:r>
                    <m:acc>
                      <m:accPr>
                        <m:chr m:val="̅"/>
                        <m:ctrlPr>
                          <a:rPr lang="en-GB" sz="1100" b="1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GB" sz="1100" b="1" i="1">
                            <a:latin typeface="Cambria Math" panose="02040503050406030204" pitchFamily="18" charset="0"/>
                          </a:rPr>
                          <m:t>𝒙</m:t>
                        </m:r>
                      </m:e>
                    </m:acc>
                  </m:oMath>
                </m:oMathPara>
              </a14:m>
              <a:endParaRPr lang="en-GB" sz="1100" b="1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E79AA090-C532-4F15-BDA3-E7A85F7AE86E}"/>
                </a:ext>
              </a:extLst>
            </xdr:cNvPr>
            <xdr:cNvSpPr txBox="1"/>
          </xdr:nvSpPr>
          <xdr:spPr>
            <a:xfrm>
              <a:off x="6908059" y="200720"/>
              <a:ext cx="36272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100" b="1" i="0">
                  <a:latin typeface="Cambria Math" panose="02040503050406030204" pitchFamily="18" charset="0"/>
                </a:rPr>
                <a:t>𝒙−𝒙 ̅</a:t>
              </a:r>
              <a:endParaRPr lang="en-GB" sz="1100" b="1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441960</xdr:colOff>
      <xdr:row>2</xdr:row>
      <xdr:rowOff>80010</xdr:rowOff>
    </xdr:from>
    <xdr:to>
      <xdr:col>13</xdr:col>
      <xdr:colOff>167640</xdr:colOff>
      <xdr:row>17</xdr:row>
      <xdr:rowOff>80010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9E82788-F606-4380-A811-BBB15A6C81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312420</xdr:colOff>
      <xdr:row>1</xdr:row>
      <xdr:rowOff>45720</xdr:rowOff>
    </xdr:from>
    <xdr:to>
      <xdr:col>25</xdr:col>
      <xdr:colOff>7620</xdr:colOff>
      <xdr:row>16</xdr:row>
      <xdr:rowOff>45720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F4B342F-1917-4EE5-8F2F-62197EFF85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27</xdr:col>
      <xdr:colOff>15240</xdr:colOff>
      <xdr:row>17</xdr:row>
      <xdr:rowOff>0</xdr:rowOff>
    </xdr:from>
    <xdr:to>
      <xdr:col>29</xdr:col>
      <xdr:colOff>541020</xdr:colOff>
      <xdr:row>25</xdr:row>
      <xdr:rowOff>92702</xdr:rowOff>
    </xdr:to>
    <xdr:sp macro="" textlink="">
      <xdr:nvSpPr>
        <xdr:cNvPr id="4" name="Freeform: Shape 3">
          <a:extLst>
            <a:ext uri="{FF2B5EF4-FFF2-40B4-BE49-F238E27FC236}">
              <a16:creationId xmlns:a16="http://schemas.microsoft.com/office/drawing/2014/main" id="{C9C8111D-2E28-415A-9FAE-3ED694250B2E}"/>
            </a:ext>
          </a:extLst>
        </xdr:cNvPr>
        <xdr:cNvSpPr/>
      </xdr:nvSpPr>
      <xdr:spPr>
        <a:xfrm>
          <a:off x="16474440" y="3108960"/>
          <a:ext cx="1744980" cy="1555742"/>
        </a:xfrm>
        <a:custGeom>
          <a:avLst/>
          <a:gdLst>
            <a:gd name="connsiteX0" fmla="*/ 0 w 1744980"/>
            <a:gd name="connsiteY0" fmla="*/ 1546860 h 1555742"/>
            <a:gd name="connsiteX1" fmla="*/ 373380 w 1744980"/>
            <a:gd name="connsiteY1" fmla="*/ 1531620 h 1555742"/>
            <a:gd name="connsiteX2" fmla="*/ 853440 w 1744980"/>
            <a:gd name="connsiteY2" fmla="*/ 1341120 h 1555742"/>
            <a:gd name="connsiteX3" fmla="*/ 1295400 w 1744980"/>
            <a:gd name="connsiteY3" fmla="*/ 1028700 h 1555742"/>
            <a:gd name="connsiteX4" fmla="*/ 1607820 w 1744980"/>
            <a:gd name="connsiteY4" fmla="*/ 556260 h 1555742"/>
            <a:gd name="connsiteX5" fmla="*/ 1744980 w 1744980"/>
            <a:gd name="connsiteY5" fmla="*/ 0 h 1555742"/>
            <a:gd name="connsiteX6" fmla="*/ 1744980 w 1744980"/>
            <a:gd name="connsiteY6" fmla="*/ 0 h 155574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1744980" h="1555742">
              <a:moveTo>
                <a:pt x="0" y="1546860"/>
              </a:moveTo>
              <a:cubicBezTo>
                <a:pt x="115570" y="1556385"/>
                <a:pt x="231140" y="1565910"/>
                <a:pt x="373380" y="1531620"/>
              </a:cubicBezTo>
              <a:cubicBezTo>
                <a:pt x="515620" y="1497330"/>
                <a:pt x="699770" y="1424940"/>
                <a:pt x="853440" y="1341120"/>
              </a:cubicBezTo>
              <a:cubicBezTo>
                <a:pt x="1007110" y="1257300"/>
                <a:pt x="1169670" y="1159510"/>
                <a:pt x="1295400" y="1028700"/>
              </a:cubicBezTo>
              <a:cubicBezTo>
                <a:pt x="1421130" y="897890"/>
                <a:pt x="1532890" y="727710"/>
                <a:pt x="1607820" y="556260"/>
              </a:cubicBezTo>
              <a:cubicBezTo>
                <a:pt x="1682750" y="384810"/>
                <a:pt x="1744980" y="0"/>
                <a:pt x="1744980" y="0"/>
              </a:cubicBezTo>
              <a:lnTo>
                <a:pt x="1744980" y="0"/>
              </a:ln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27</xdr:col>
      <xdr:colOff>7620</xdr:colOff>
      <xdr:row>13</xdr:row>
      <xdr:rowOff>121920</xdr:rowOff>
    </xdr:from>
    <xdr:to>
      <xdr:col>27</xdr:col>
      <xdr:colOff>7620</xdr:colOff>
      <xdr:row>25</xdr:row>
      <xdr:rowOff>175260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DA878D48-65A6-449D-83A6-5482E36A259C}"/>
            </a:ext>
          </a:extLst>
        </xdr:cNvPr>
        <xdr:cNvCxnSpPr/>
      </xdr:nvCxnSpPr>
      <xdr:spPr>
        <a:xfrm flipV="1">
          <a:off x="16466820" y="2499360"/>
          <a:ext cx="0" cy="22479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0</xdr:colOff>
      <xdr:row>25</xdr:row>
      <xdr:rowOff>137160</xdr:rowOff>
    </xdr:from>
    <xdr:to>
      <xdr:col>31</xdr:col>
      <xdr:colOff>243840</xdr:colOff>
      <xdr:row>25</xdr:row>
      <xdr:rowOff>144780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D977278D-6908-4159-920A-76C963AFF4EA}"/>
            </a:ext>
          </a:extLst>
        </xdr:cNvPr>
        <xdr:cNvCxnSpPr/>
      </xdr:nvCxnSpPr>
      <xdr:spPr>
        <a:xfrm flipV="1">
          <a:off x="15849600" y="4709160"/>
          <a:ext cx="3291840" cy="762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419100</xdr:colOff>
      <xdr:row>23</xdr:row>
      <xdr:rowOff>106680</xdr:rowOff>
    </xdr:from>
    <xdr:to>
      <xdr:col>28</xdr:col>
      <xdr:colOff>464819</xdr:colOff>
      <xdr:row>23</xdr:row>
      <xdr:rowOff>152399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5271A6D3-AF31-4F73-943D-EBA0914E5F9A}"/>
            </a:ext>
          </a:extLst>
        </xdr:cNvPr>
        <xdr:cNvSpPr/>
      </xdr:nvSpPr>
      <xdr:spPr>
        <a:xfrm>
          <a:off x="17487900" y="4312920"/>
          <a:ext cx="45719" cy="45719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28</xdr:col>
      <xdr:colOff>548640</xdr:colOff>
      <xdr:row>23</xdr:row>
      <xdr:rowOff>15240</xdr:rowOff>
    </xdr:from>
    <xdr:to>
      <xdr:col>28</xdr:col>
      <xdr:colOff>594359</xdr:colOff>
      <xdr:row>23</xdr:row>
      <xdr:rowOff>60959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FF901C65-42B4-4CC4-A026-930F40D6B1C4}"/>
            </a:ext>
          </a:extLst>
        </xdr:cNvPr>
        <xdr:cNvSpPr/>
      </xdr:nvSpPr>
      <xdr:spPr>
        <a:xfrm>
          <a:off x="17617440" y="4221480"/>
          <a:ext cx="45719" cy="45719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27</xdr:col>
      <xdr:colOff>350520</xdr:colOff>
      <xdr:row>18</xdr:row>
      <xdr:rowOff>83820</xdr:rowOff>
    </xdr:from>
    <xdr:to>
      <xdr:col>30</xdr:col>
      <xdr:colOff>426720</xdr:colOff>
      <xdr:row>26</xdr:row>
      <xdr:rowOff>129540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EBD403BF-0C48-45EC-B25D-86349D2989D2}"/>
            </a:ext>
          </a:extLst>
        </xdr:cNvPr>
        <xdr:cNvCxnSpPr/>
      </xdr:nvCxnSpPr>
      <xdr:spPr>
        <a:xfrm flipH="1">
          <a:off x="16809720" y="3375660"/>
          <a:ext cx="1905000" cy="1508760"/>
        </a:xfrm>
        <a:prstGeom prst="line">
          <a:avLst/>
        </a:prstGeom>
        <a:ln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441960</xdr:colOff>
      <xdr:row>23</xdr:row>
      <xdr:rowOff>152399</xdr:rowOff>
    </xdr:from>
    <xdr:to>
      <xdr:col>28</xdr:col>
      <xdr:colOff>441960</xdr:colOff>
      <xdr:row>25</xdr:row>
      <xdr:rowOff>7620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CFAC2CFB-98CE-475E-AF4F-6AD6976746C6}"/>
            </a:ext>
          </a:extLst>
        </xdr:cNvPr>
        <xdr:cNvCxnSpPr>
          <a:stCxn id="7" idx="4"/>
        </xdr:cNvCxnSpPr>
      </xdr:nvCxnSpPr>
      <xdr:spPr>
        <a:xfrm>
          <a:off x="17510760" y="4358639"/>
          <a:ext cx="0" cy="22098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571500</xdr:colOff>
      <xdr:row>23</xdr:row>
      <xdr:rowOff>30479</xdr:rowOff>
    </xdr:from>
    <xdr:to>
      <xdr:col>28</xdr:col>
      <xdr:colOff>571500</xdr:colOff>
      <xdr:row>25</xdr:row>
      <xdr:rowOff>15240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169258C5-7B0D-415D-82B5-3BED0884F545}"/>
            </a:ext>
          </a:extLst>
        </xdr:cNvPr>
        <xdr:cNvCxnSpPr/>
      </xdr:nvCxnSpPr>
      <xdr:spPr>
        <a:xfrm>
          <a:off x="17640300" y="4236719"/>
          <a:ext cx="0" cy="35052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342900</xdr:colOff>
      <xdr:row>24</xdr:row>
      <xdr:rowOff>99060</xdr:rowOff>
    </xdr:from>
    <xdr:to>
      <xdr:col>29</xdr:col>
      <xdr:colOff>76200</xdr:colOff>
      <xdr:row>26</xdr:row>
      <xdr:rowOff>91440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65A6FB1-74C4-4C6E-954D-83A1D368F1C7}"/>
            </a:ext>
          </a:extLst>
        </xdr:cNvPr>
        <xdr:cNvSpPr txBox="1"/>
      </xdr:nvSpPr>
      <xdr:spPr>
        <a:xfrm>
          <a:off x="17411700" y="4488180"/>
          <a:ext cx="342900" cy="3581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ym typeface="Symbol" panose="05050102010706020507" pitchFamily="18" charset="2"/>
            </a:rPr>
            <a:t>x</a:t>
          </a:r>
          <a:endParaRPr lang="en-GB" sz="1100"/>
        </a:p>
      </xdr:txBody>
    </xdr:sp>
    <xdr:clientData/>
  </xdr:twoCellAnchor>
  <xdr:twoCellAnchor>
    <xdr:from>
      <xdr:col>28</xdr:col>
      <xdr:colOff>579120</xdr:colOff>
      <xdr:row>24</xdr:row>
      <xdr:rowOff>129540</xdr:rowOff>
    </xdr:from>
    <xdr:to>
      <xdr:col>29</xdr:col>
      <xdr:colOff>335280</xdr:colOff>
      <xdr:row>24</xdr:row>
      <xdr:rowOff>129540</xdr:rowOff>
    </xdr:to>
    <xdr:cxnSp macro="">
      <xdr:nvCxnSpPr>
        <xdr:cNvPr id="13" name="Straight Arrow Connector 12">
          <a:extLst>
            <a:ext uri="{FF2B5EF4-FFF2-40B4-BE49-F238E27FC236}">
              <a16:creationId xmlns:a16="http://schemas.microsoft.com/office/drawing/2014/main" id="{3ABED016-4207-4843-952D-565202368683}"/>
            </a:ext>
          </a:extLst>
        </xdr:cNvPr>
        <xdr:cNvCxnSpPr/>
      </xdr:nvCxnSpPr>
      <xdr:spPr>
        <a:xfrm flipH="1">
          <a:off x="17647920" y="4518660"/>
          <a:ext cx="36576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60960</xdr:colOff>
      <xdr:row>24</xdr:row>
      <xdr:rowOff>129540</xdr:rowOff>
    </xdr:from>
    <xdr:to>
      <xdr:col>28</xdr:col>
      <xdr:colOff>441960</xdr:colOff>
      <xdr:row>24</xdr:row>
      <xdr:rowOff>129540</xdr:rowOff>
    </xdr:to>
    <xdr:cxnSp macro="">
      <xdr:nvCxnSpPr>
        <xdr:cNvPr id="14" name="Straight Arrow Connector 13">
          <a:extLst>
            <a:ext uri="{FF2B5EF4-FFF2-40B4-BE49-F238E27FC236}">
              <a16:creationId xmlns:a16="http://schemas.microsoft.com/office/drawing/2014/main" id="{C8BD9AEB-ECFF-4085-866A-6785FEB1D073}"/>
            </a:ext>
          </a:extLst>
        </xdr:cNvPr>
        <xdr:cNvCxnSpPr/>
      </xdr:nvCxnSpPr>
      <xdr:spPr>
        <a:xfrm>
          <a:off x="17129760" y="4518660"/>
          <a:ext cx="38100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464820</xdr:colOff>
      <xdr:row>23</xdr:row>
      <xdr:rowOff>137160</xdr:rowOff>
    </xdr:from>
    <xdr:to>
      <xdr:col>29</xdr:col>
      <xdr:colOff>495300</xdr:colOff>
      <xdr:row>23</xdr:row>
      <xdr:rowOff>137160</xdr:rowOff>
    </xdr:to>
    <xdr:cxnSp macro="">
      <xdr:nvCxnSpPr>
        <xdr:cNvPr id="15" name="Straight Arrow Connector 14">
          <a:extLst>
            <a:ext uri="{FF2B5EF4-FFF2-40B4-BE49-F238E27FC236}">
              <a16:creationId xmlns:a16="http://schemas.microsoft.com/office/drawing/2014/main" id="{BA16797A-0945-4770-975B-93E7903953D6}"/>
            </a:ext>
          </a:extLst>
        </xdr:cNvPr>
        <xdr:cNvCxnSpPr/>
      </xdr:nvCxnSpPr>
      <xdr:spPr>
        <a:xfrm flipH="1">
          <a:off x="17533620" y="4343400"/>
          <a:ext cx="64008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0</xdr:colOff>
      <xdr:row>23</xdr:row>
      <xdr:rowOff>22860</xdr:rowOff>
    </xdr:from>
    <xdr:to>
      <xdr:col>29</xdr:col>
      <xdr:colOff>480060</xdr:colOff>
      <xdr:row>23</xdr:row>
      <xdr:rowOff>22860</xdr:rowOff>
    </xdr:to>
    <xdr:cxnSp macro="">
      <xdr:nvCxnSpPr>
        <xdr:cNvPr id="16" name="Straight Arrow Connector 15">
          <a:extLst>
            <a:ext uri="{FF2B5EF4-FFF2-40B4-BE49-F238E27FC236}">
              <a16:creationId xmlns:a16="http://schemas.microsoft.com/office/drawing/2014/main" id="{DC63CD79-6B96-4DB2-9A4A-CF1135A227E8}"/>
            </a:ext>
          </a:extLst>
        </xdr:cNvPr>
        <xdr:cNvCxnSpPr/>
      </xdr:nvCxnSpPr>
      <xdr:spPr>
        <a:xfrm flipH="1">
          <a:off x="17678400" y="4229100"/>
          <a:ext cx="48006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373380</xdr:colOff>
      <xdr:row>22</xdr:row>
      <xdr:rowOff>114300</xdr:rowOff>
    </xdr:from>
    <xdr:to>
      <xdr:col>30</xdr:col>
      <xdr:colOff>106680</xdr:colOff>
      <xdr:row>24</xdr:row>
      <xdr:rowOff>106680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C236D04-1825-4EBF-A57D-2D3518A7C32D}"/>
            </a:ext>
          </a:extLst>
        </xdr:cNvPr>
        <xdr:cNvSpPr txBox="1"/>
      </xdr:nvSpPr>
      <xdr:spPr>
        <a:xfrm>
          <a:off x="18051780" y="4137660"/>
          <a:ext cx="342900" cy="3581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ym typeface="Symbol" panose="05050102010706020507" pitchFamily="18" charset="2"/>
            </a:rPr>
            <a:t>y</a:t>
          </a:r>
          <a:endParaRPr lang="en-GB" sz="1100"/>
        </a:p>
      </xdr:txBody>
    </xdr:sp>
    <xdr:clientData/>
  </xdr:twoCellAnchor>
  <xdr:twoCellAnchor>
    <xdr:from>
      <xdr:col>29</xdr:col>
      <xdr:colOff>441960</xdr:colOff>
      <xdr:row>21</xdr:row>
      <xdr:rowOff>68580</xdr:rowOff>
    </xdr:from>
    <xdr:to>
      <xdr:col>29</xdr:col>
      <xdr:colOff>441960</xdr:colOff>
      <xdr:row>23</xdr:row>
      <xdr:rowOff>22860</xdr:rowOff>
    </xdr:to>
    <xdr:cxnSp macro="">
      <xdr:nvCxnSpPr>
        <xdr:cNvPr id="18" name="Straight Arrow Connector 17">
          <a:extLst>
            <a:ext uri="{FF2B5EF4-FFF2-40B4-BE49-F238E27FC236}">
              <a16:creationId xmlns:a16="http://schemas.microsoft.com/office/drawing/2014/main" id="{8EFE0BA7-7AAE-4FE9-8F1C-7FDDDE1F0AFE}"/>
            </a:ext>
          </a:extLst>
        </xdr:cNvPr>
        <xdr:cNvCxnSpPr/>
      </xdr:nvCxnSpPr>
      <xdr:spPr>
        <a:xfrm>
          <a:off x="18120360" y="3909060"/>
          <a:ext cx="0" cy="32004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449580</xdr:colOff>
      <xdr:row>23</xdr:row>
      <xdr:rowOff>129540</xdr:rowOff>
    </xdr:from>
    <xdr:to>
      <xdr:col>29</xdr:col>
      <xdr:colOff>449580</xdr:colOff>
      <xdr:row>25</xdr:row>
      <xdr:rowOff>91440</xdr:rowOff>
    </xdr:to>
    <xdr:cxnSp macro="">
      <xdr:nvCxnSpPr>
        <xdr:cNvPr id="19" name="Straight Arrow Connector 18">
          <a:extLst>
            <a:ext uri="{FF2B5EF4-FFF2-40B4-BE49-F238E27FC236}">
              <a16:creationId xmlns:a16="http://schemas.microsoft.com/office/drawing/2014/main" id="{F2822DB1-9EA3-4CF3-AAC4-785B813BEA9C}"/>
            </a:ext>
          </a:extLst>
        </xdr:cNvPr>
        <xdr:cNvCxnSpPr/>
      </xdr:nvCxnSpPr>
      <xdr:spPr>
        <a:xfrm flipV="1">
          <a:off x="18127980" y="4335780"/>
          <a:ext cx="0" cy="32766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373380</xdr:colOff>
      <xdr:row>13</xdr:row>
      <xdr:rowOff>137160</xdr:rowOff>
    </xdr:from>
    <xdr:to>
      <xdr:col>27</xdr:col>
      <xdr:colOff>106680</xdr:colOff>
      <xdr:row>15</xdr:row>
      <xdr:rowOff>129540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44ADFF01-780A-4BFD-B5D7-D2625E78310E}"/>
            </a:ext>
          </a:extLst>
        </xdr:cNvPr>
        <xdr:cNvSpPr txBox="1"/>
      </xdr:nvSpPr>
      <xdr:spPr>
        <a:xfrm>
          <a:off x="16222980" y="2514600"/>
          <a:ext cx="342900" cy="3581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ym typeface="Symbol" panose="05050102010706020507" pitchFamily="18" charset="2"/>
            </a:rPr>
            <a:t>y</a:t>
          </a:r>
          <a:endParaRPr lang="en-GB" sz="1100"/>
        </a:p>
      </xdr:txBody>
    </xdr:sp>
    <xdr:clientData/>
  </xdr:twoCellAnchor>
  <xdr:twoCellAnchor>
    <xdr:from>
      <xdr:col>30</xdr:col>
      <xdr:colOff>548640</xdr:colOff>
      <xdr:row>25</xdr:row>
      <xdr:rowOff>99060</xdr:rowOff>
    </xdr:from>
    <xdr:to>
      <xdr:col>31</xdr:col>
      <xdr:colOff>281940</xdr:colOff>
      <xdr:row>27</xdr:row>
      <xdr:rowOff>91440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AE3E1F25-278B-4C69-AB9E-F6BB964CCA89}"/>
            </a:ext>
          </a:extLst>
        </xdr:cNvPr>
        <xdr:cNvSpPr txBox="1"/>
      </xdr:nvSpPr>
      <xdr:spPr>
        <a:xfrm>
          <a:off x="18836640" y="4671060"/>
          <a:ext cx="342900" cy="3581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ym typeface="Symbol" panose="05050102010706020507" pitchFamily="18" charset="2"/>
            </a:rPr>
            <a:t>x</a:t>
          </a:r>
          <a:endParaRPr lang="en-GB" sz="1100"/>
        </a:p>
      </xdr:txBody>
    </xdr:sp>
    <xdr:clientData/>
  </xdr:twoCellAnchor>
  <xdr:twoCellAnchor>
    <xdr:from>
      <xdr:col>35</xdr:col>
      <xdr:colOff>0</xdr:colOff>
      <xdr:row>13</xdr:row>
      <xdr:rowOff>167640</xdr:rowOff>
    </xdr:from>
    <xdr:to>
      <xdr:col>35</xdr:col>
      <xdr:colOff>0</xdr:colOff>
      <xdr:row>26</xdr:row>
      <xdr:rowOff>38100</xdr:rowOff>
    </xdr:to>
    <xdr:cxnSp macro="">
      <xdr:nvCxnSpPr>
        <xdr:cNvPr id="22" name="Straight Arrow Connector 21">
          <a:extLst>
            <a:ext uri="{FF2B5EF4-FFF2-40B4-BE49-F238E27FC236}">
              <a16:creationId xmlns:a16="http://schemas.microsoft.com/office/drawing/2014/main" id="{72A7FC20-FCB5-4E5E-8D3F-E177C7BA4D15}"/>
            </a:ext>
          </a:extLst>
        </xdr:cNvPr>
        <xdr:cNvCxnSpPr/>
      </xdr:nvCxnSpPr>
      <xdr:spPr>
        <a:xfrm flipV="1">
          <a:off x="21336000" y="2545080"/>
          <a:ext cx="0" cy="22479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601980</xdr:colOff>
      <xdr:row>26</xdr:row>
      <xdr:rowOff>0</xdr:rowOff>
    </xdr:from>
    <xdr:to>
      <xdr:col>39</xdr:col>
      <xdr:colOff>236220</xdr:colOff>
      <xdr:row>26</xdr:row>
      <xdr:rowOff>7620</xdr:rowOff>
    </xdr:to>
    <xdr:cxnSp macro="">
      <xdr:nvCxnSpPr>
        <xdr:cNvPr id="23" name="Straight Arrow Connector 22">
          <a:extLst>
            <a:ext uri="{FF2B5EF4-FFF2-40B4-BE49-F238E27FC236}">
              <a16:creationId xmlns:a16="http://schemas.microsoft.com/office/drawing/2014/main" id="{0F08A8D7-0CEE-48EC-9A89-DCF02A848128}"/>
            </a:ext>
          </a:extLst>
        </xdr:cNvPr>
        <xdr:cNvCxnSpPr/>
      </xdr:nvCxnSpPr>
      <xdr:spPr>
        <a:xfrm flipV="1">
          <a:off x="20718780" y="4754880"/>
          <a:ext cx="3291840" cy="762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365760</xdr:colOff>
      <xdr:row>14</xdr:row>
      <xdr:rowOff>0</xdr:rowOff>
    </xdr:from>
    <xdr:to>
      <xdr:col>35</xdr:col>
      <xdr:colOff>99060</xdr:colOff>
      <xdr:row>15</xdr:row>
      <xdr:rowOff>175260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339DB4D2-50B1-48CF-876B-52EA610B58D7}"/>
            </a:ext>
          </a:extLst>
        </xdr:cNvPr>
        <xdr:cNvSpPr txBox="1"/>
      </xdr:nvSpPr>
      <xdr:spPr>
        <a:xfrm>
          <a:off x="21092160" y="2560320"/>
          <a:ext cx="342900" cy="3581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ym typeface="Symbol" panose="05050102010706020507" pitchFamily="18" charset="2"/>
            </a:rPr>
            <a:t>y</a:t>
          </a:r>
          <a:endParaRPr lang="en-GB" sz="1100"/>
        </a:p>
      </xdr:txBody>
    </xdr:sp>
    <xdr:clientData/>
  </xdr:twoCellAnchor>
  <xdr:twoCellAnchor>
    <xdr:from>
      <xdr:col>38</xdr:col>
      <xdr:colOff>541020</xdr:colOff>
      <xdr:row>25</xdr:row>
      <xdr:rowOff>144780</xdr:rowOff>
    </xdr:from>
    <xdr:to>
      <xdr:col>39</xdr:col>
      <xdr:colOff>274320</xdr:colOff>
      <xdr:row>27</xdr:row>
      <xdr:rowOff>137160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46F5A9B0-9BDF-4F32-9530-1EC104545C52}"/>
            </a:ext>
          </a:extLst>
        </xdr:cNvPr>
        <xdr:cNvSpPr txBox="1"/>
      </xdr:nvSpPr>
      <xdr:spPr>
        <a:xfrm>
          <a:off x="23705820" y="4716780"/>
          <a:ext cx="342900" cy="3581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ym typeface="Symbol" panose="05050102010706020507" pitchFamily="18" charset="2"/>
            </a:rPr>
            <a:t>x</a:t>
          </a:r>
          <a:endParaRPr lang="en-GB" sz="1100"/>
        </a:p>
      </xdr:txBody>
    </xdr:sp>
    <xdr:clientData/>
  </xdr:twoCellAnchor>
  <xdr:twoCellAnchor>
    <xdr:from>
      <xdr:col>34</xdr:col>
      <xdr:colOff>381000</xdr:colOff>
      <xdr:row>15</xdr:row>
      <xdr:rowOff>179756</xdr:rowOff>
    </xdr:from>
    <xdr:to>
      <xdr:col>38</xdr:col>
      <xdr:colOff>518160</xdr:colOff>
      <xdr:row>26</xdr:row>
      <xdr:rowOff>137160</xdr:rowOff>
    </xdr:to>
    <xdr:sp macro="" textlink="">
      <xdr:nvSpPr>
        <xdr:cNvPr id="26" name="Freeform: Shape 25">
          <a:extLst>
            <a:ext uri="{FF2B5EF4-FFF2-40B4-BE49-F238E27FC236}">
              <a16:creationId xmlns:a16="http://schemas.microsoft.com/office/drawing/2014/main" id="{CB698D69-4BDC-4EC2-80C4-A05A6A866C5D}"/>
            </a:ext>
          </a:extLst>
        </xdr:cNvPr>
        <xdr:cNvSpPr/>
      </xdr:nvSpPr>
      <xdr:spPr>
        <a:xfrm>
          <a:off x="21107400" y="2922956"/>
          <a:ext cx="2575560" cy="1969084"/>
        </a:xfrm>
        <a:custGeom>
          <a:avLst/>
          <a:gdLst>
            <a:gd name="connsiteX0" fmla="*/ 0 w 2575560"/>
            <a:gd name="connsiteY0" fmla="*/ 1969084 h 1969084"/>
            <a:gd name="connsiteX1" fmla="*/ 327660 w 2575560"/>
            <a:gd name="connsiteY1" fmla="*/ 1786204 h 1969084"/>
            <a:gd name="connsiteX2" fmla="*/ 701040 w 2575560"/>
            <a:gd name="connsiteY2" fmla="*/ 1313764 h 1969084"/>
            <a:gd name="connsiteX3" fmla="*/ 1059180 w 2575560"/>
            <a:gd name="connsiteY3" fmla="*/ 475564 h 1969084"/>
            <a:gd name="connsiteX4" fmla="*/ 1432560 w 2575560"/>
            <a:gd name="connsiteY4" fmla="*/ 64084 h 1969084"/>
            <a:gd name="connsiteX5" fmla="*/ 1775460 w 2575560"/>
            <a:gd name="connsiteY5" fmla="*/ 33604 h 1969084"/>
            <a:gd name="connsiteX6" fmla="*/ 2095500 w 2575560"/>
            <a:gd name="connsiteY6" fmla="*/ 384124 h 1969084"/>
            <a:gd name="connsiteX7" fmla="*/ 2331720 w 2575560"/>
            <a:gd name="connsiteY7" fmla="*/ 818464 h 1969084"/>
            <a:gd name="connsiteX8" fmla="*/ 2575560 w 2575560"/>
            <a:gd name="connsiteY8" fmla="*/ 1214704 h 1969084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2575560" h="1969084">
              <a:moveTo>
                <a:pt x="0" y="1969084"/>
              </a:moveTo>
              <a:cubicBezTo>
                <a:pt x="105410" y="1932254"/>
                <a:pt x="210820" y="1895424"/>
                <a:pt x="327660" y="1786204"/>
              </a:cubicBezTo>
              <a:cubicBezTo>
                <a:pt x="444500" y="1676984"/>
                <a:pt x="579120" y="1532204"/>
                <a:pt x="701040" y="1313764"/>
              </a:cubicBezTo>
              <a:cubicBezTo>
                <a:pt x="822960" y="1095324"/>
                <a:pt x="937260" y="683844"/>
                <a:pt x="1059180" y="475564"/>
              </a:cubicBezTo>
              <a:cubicBezTo>
                <a:pt x="1181100" y="267284"/>
                <a:pt x="1313180" y="137744"/>
                <a:pt x="1432560" y="64084"/>
              </a:cubicBezTo>
              <a:cubicBezTo>
                <a:pt x="1551940" y="-9576"/>
                <a:pt x="1664970" y="-19736"/>
                <a:pt x="1775460" y="33604"/>
              </a:cubicBezTo>
              <a:cubicBezTo>
                <a:pt x="1885950" y="86944"/>
                <a:pt x="2002790" y="253314"/>
                <a:pt x="2095500" y="384124"/>
              </a:cubicBezTo>
              <a:cubicBezTo>
                <a:pt x="2188210" y="514934"/>
                <a:pt x="2251710" y="680034"/>
                <a:pt x="2331720" y="818464"/>
              </a:cubicBezTo>
              <a:cubicBezTo>
                <a:pt x="2411730" y="956894"/>
                <a:pt x="2493645" y="1085799"/>
                <a:pt x="2575560" y="1214704"/>
              </a:cubicBez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35</xdr:col>
      <xdr:colOff>0</xdr:colOff>
      <xdr:row>27</xdr:row>
      <xdr:rowOff>167640</xdr:rowOff>
    </xdr:from>
    <xdr:to>
      <xdr:col>35</xdr:col>
      <xdr:colOff>0</xdr:colOff>
      <xdr:row>40</xdr:row>
      <xdr:rowOff>38100</xdr:rowOff>
    </xdr:to>
    <xdr:cxnSp macro="">
      <xdr:nvCxnSpPr>
        <xdr:cNvPr id="27" name="Straight Arrow Connector 26">
          <a:extLst>
            <a:ext uri="{FF2B5EF4-FFF2-40B4-BE49-F238E27FC236}">
              <a16:creationId xmlns:a16="http://schemas.microsoft.com/office/drawing/2014/main" id="{ACEB66FB-4065-48C9-9BDF-AC2BE7F3484B}"/>
            </a:ext>
          </a:extLst>
        </xdr:cNvPr>
        <xdr:cNvCxnSpPr/>
      </xdr:nvCxnSpPr>
      <xdr:spPr>
        <a:xfrm flipV="1">
          <a:off x="21336000" y="5105400"/>
          <a:ext cx="0" cy="22479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601980</xdr:colOff>
      <xdr:row>40</xdr:row>
      <xdr:rowOff>0</xdr:rowOff>
    </xdr:from>
    <xdr:to>
      <xdr:col>39</xdr:col>
      <xdr:colOff>236220</xdr:colOff>
      <xdr:row>40</xdr:row>
      <xdr:rowOff>7620</xdr:rowOff>
    </xdr:to>
    <xdr:cxnSp macro="">
      <xdr:nvCxnSpPr>
        <xdr:cNvPr id="28" name="Straight Arrow Connector 27">
          <a:extLst>
            <a:ext uri="{FF2B5EF4-FFF2-40B4-BE49-F238E27FC236}">
              <a16:creationId xmlns:a16="http://schemas.microsoft.com/office/drawing/2014/main" id="{5EC39310-C407-44D2-9991-DB937DAF8F6D}"/>
            </a:ext>
          </a:extLst>
        </xdr:cNvPr>
        <xdr:cNvCxnSpPr/>
      </xdr:nvCxnSpPr>
      <xdr:spPr>
        <a:xfrm flipV="1">
          <a:off x="20718780" y="7315200"/>
          <a:ext cx="3291840" cy="762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365760</xdr:colOff>
      <xdr:row>28</xdr:row>
      <xdr:rowOff>0</xdr:rowOff>
    </xdr:from>
    <xdr:to>
      <xdr:col>35</xdr:col>
      <xdr:colOff>99060</xdr:colOff>
      <xdr:row>29</xdr:row>
      <xdr:rowOff>175260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EBB25281-C7E9-4E5A-9380-827DE78DE2AA}"/>
            </a:ext>
          </a:extLst>
        </xdr:cNvPr>
        <xdr:cNvSpPr txBox="1"/>
      </xdr:nvSpPr>
      <xdr:spPr>
        <a:xfrm>
          <a:off x="21092160" y="5120640"/>
          <a:ext cx="342900" cy="3581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ym typeface="Symbol" panose="05050102010706020507" pitchFamily="18" charset="2"/>
            </a:rPr>
            <a:t>y</a:t>
          </a:r>
          <a:endParaRPr lang="en-GB" sz="1100"/>
        </a:p>
      </xdr:txBody>
    </xdr:sp>
    <xdr:clientData/>
  </xdr:twoCellAnchor>
  <xdr:twoCellAnchor>
    <xdr:from>
      <xdr:col>38</xdr:col>
      <xdr:colOff>541020</xdr:colOff>
      <xdr:row>39</xdr:row>
      <xdr:rowOff>144780</xdr:rowOff>
    </xdr:from>
    <xdr:to>
      <xdr:col>39</xdr:col>
      <xdr:colOff>274320</xdr:colOff>
      <xdr:row>41</xdr:row>
      <xdr:rowOff>137160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B8C5FAD2-CC5A-4B51-93CC-93A54865DCBA}"/>
            </a:ext>
          </a:extLst>
        </xdr:cNvPr>
        <xdr:cNvSpPr txBox="1"/>
      </xdr:nvSpPr>
      <xdr:spPr>
        <a:xfrm>
          <a:off x="23705820" y="7277100"/>
          <a:ext cx="342900" cy="3581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ym typeface="Symbol" panose="05050102010706020507" pitchFamily="18" charset="2"/>
            </a:rPr>
            <a:t>x</a:t>
          </a:r>
          <a:endParaRPr lang="en-GB" sz="1100"/>
        </a:p>
      </xdr:txBody>
    </xdr:sp>
    <xdr:clientData/>
  </xdr:twoCellAnchor>
  <xdr:twoCellAnchor>
    <xdr:from>
      <xdr:col>34</xdr:col>
      <xdr:colOff>381000</xdr:colOff>
      <xdr:row>29</xdr:row>
      <xdr:rowOff>179756</xdr:rowOff>
    </xdr:from>
    <xdr:to>
      <xdr:col>38</xdr:col>
      <xdr:colOff>518160</xdr:colOff>
      <xdr:row>40</xdr:row>
      <xdr:rowOff>137160</xdr:rowOff>
    </xdr:to>
    <xdr:sp macro="" textlink="">
      <xdr:nvSpPr>
        <xdr:cNvPr id="31" name="Freeform: Shape 30">
          <a:extLst>
            <a:ext uri="{FF2B5EF4-FFF2-40B4-BE49-F238E27FC236}">
              <a16:creationId xmlns:a16="http://schemas.microsoft.com/office/drawing/2014/main" id="{943BF996-D2BE-4C56-A033-D70FF9BC6308}"/>
            </a:ext>
          </a:extLst>
        </xdr:cNvPr>
        <xdr:cNvSpPr/>
      </xdr:nvSpPr>
      <xdr:spPr>
        <a:xfrm>
          <a:off x="21107400" y="5483276"/>
          <a:ext cx="2575560" cy="1969084"/>
        </a:xfrm>
        <a:custGeom>
          <a:avLst/>
          <a:gdLst>
            <a:gd name="connsiteX0" fmla="*/ 0 w 2575560"/>
            <a:gd name="connsiteY0" fmla="*/ 1969084 h 1969084"/>
            <a:gd name="connsiteX1" fmla="*/ 327660 w 2575560"/>
            <a:gd name="connsiteY1" fmla="*/ 1786204 h 1969084"/>
            <a:gd name="connsiteX2" fmla="*/ 701040 w 2575560"/>
            <a:gd name="connsiteY2" fmla="*/ 1313764 h 1969084"/>
            <a:gd name="connsiteX3" fmla="*/ 1059180 w 2575560"/>
            <a:gd name="connsiteY3" fmla="*/ 475564 h 1969084"/>
            <a:gd name="connsiteX4" fmla="*/ 1432560 w 2575560"/>
            <a:gd name="connsiteY4" fmla="*/ 64084 h 1969084"/>
            <a:gd name="connsiteX5" fmla="*/ 1775460 w 2575560"/>
            <a:gd name="connsiteY5" fmla="*/ 33604 h 1969084"/>
            <a:gd name="connsiteX6" fmla="*/ 2095500 w 2575560"/>
            <a:gd name="connsiteY6" fmla="*/ 384124 h 1969084"/>
            <a:gd name="connsiteX7" fmla="*/ 2331720 w 2575560"/>
            <a:gd name="connsiteY7" fmla="*/ 818464 h 1969084"/>
            <a:gd name="connsiteX8" fmla="*/ 2575560 w 2575560"/>
            <a:gd name="connsiteY8" fmla="*/ 1214704 h 1969084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2575560" h="1969084">
              <a:moveTo>
                <a:pt x="0" y="1969084"/>
              </a:moveTo>
              <a:cubicBezTo>
                <a:pt x="105410" y="1932254"/>
                <a:pt x="210820" y="1895424"/>
                <a:pt x="327660" y="1786204"/>
              </a:cubicBezTo>
              <a:cubicBezTo>
                <a:pt x="444500" y="1676984"/>
                <a:pt x="579120" y="1532204"/>
                <a:pt x="701040" y="1313764"/>
              </a:cubicBezTo>
              <a:cubicBezTo>
                <a:pt x="822960" y="1095324"/>
                <a:pt x="937260" y="683844"/>
                <a:pt x="1059180" y="475564"/>
              </a:cubicBezTo>
              <a:cubicBezTo>
                <a:pt x="1181100" y="267284"/>
                <a:pt x="1313180" y="137744"/>
                <a:pt x="1432560" y="64084"/>
              </a:cubicBezTo>
              <a:cubicBezTo>
                <a:pt x="1551940" y="-9576"/>
                <a:pt x="1664970" y="-19736"/>
                <a:pt x="1775460" y="33604"/>
              </a:cubicBezTo>
              <a:cubicBezTo>
                <a:pt x="1885950" y="86944"/>
                <a:pt x="2002790" y="253314"/>
                <a:pt x="2095500" y="384124"/>
              </a:cubicBezTo>
              <a:cubicBezTo>
                <a:pt x="2188210" y="514934"/>
                <a:pt x="2251710" y="680034"/>
                <a:pt x="2331720" y="818464"/>
              </a:cubicBezTo>
              <a:cubicBezTo>
                <a:pt x="2411730" y="956894"/>
                <a:pt x="2493645" y="1085799"/>
                <a:pt x="2575560" y="1214704"/>
              </a:cubicBez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34</xdr:col>
      <xdr:colOff>601980</xdr:colOff>
      <xdr:row>43</xdr:row>
      <xdr:rowOff>160020</xdr:rowOff>
    </xdr:from>
    <xdr:to>
      <xdr:col>34</xdr:col>
      <xdr:colOff>601980</xdr:colOff>
      <xdr:row>56</xdr:row>
      <xdr:rowOff>30480</xdr:rowOff>
    </xdr:to>
    <xdr:cxnSp macro="">
      <xdr:nvCxnSpPr>
        <xdr:cNvPr id="32" name="Straight Arrow Connector 31">
          <a:extLst>
            <a:ext uri="{FF2B5EF4-FFF2-40B4-BE49-F238E27FC236}">
              <a16:creationId xmlns:a16="http://schemas.microsoft.com/office/drawing/2014/main" id="{276D5824-596E-4EF0-8411-BA00F1F59FEB}"/>
            </a:ext>
          </a:extLst>
        </xdr:cNvPr>
        <xdr:cNvCxnSpPr/>
      </xdr:nvCxnSpPr>
      <xdr:spPr>
        <a:xfrm flipV="1">
          <a:off x="21328380" y="8023860"/>
          <a:ext cx="0" cy="22479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594360</xdr:colOff>
      <xdr:row>55</xdr:row>
      <xdr:rowOff>175260</xdr:rowOff>
    </xdr:from>
    <xdr:to>
      <xdr:col>39</xdr:col>
      <xdr:colOff>228600</xdr:colOff>
      <xdr:row>56</xdr:row>
      <xdr:rowOff>0</xdr:rowOff>
    </xdr:to>
    <xdr:cxnSp macro="">
      <xdr:nvCxnSpPr>
        <xdr:cNvPr id="33" name="Straight Arrow Connector 32">
          <a:extLst>
            <a:ext uri="{FF2B5EF4-FFF2-40B4-BE49-F238E27FC236}">
              <a16:creationId xmlns:a16="http://schemas.microsoft.com/office/drawing/2014/main" id="{4D779100-D452-48B7-A704-32B0A0F85700}"/>
            </a:ext>
          </a:extLst>
        </xdr:cNvPr>
        <xdr:cNvCxnSpPr/>
      </xdr:nvCxnSpPr>
      <xdr:spPr>
        <a:xfrm flipV="1">
          <a:off x="20711160" y="10233660"/>
          <a:ext cx="3291840" cy="762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358140</xdr:colOff>
      <xdr:row>43</xdr:row>
      <xdr:rowOff>175260</xdr:rowOff>
    </xdr:from>
    <xdr:to>
      <xdr:col>35</xdr:col>
      <xdr:colOff>91440</xdr:colOff>
      <xdr:row>45</xdr:row>
      <xdr:rowOff>167640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D202BC06-6F63-4AAF-B8B6-2A0A45DD9411}"/>
            </a:ext>
          </a:extLst>
        </xdr:cNvPr>
        <xdr:cNvSpPr txBox="1"/>
      </xdr:nvSpPr>
      <xdr:spPr>
        <a:xfrm>
          <a:off x="21084540" y="8039100"/>
          <a:ext cx="342900" cy="3581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ym typeface="Symbol" panose="05050102010706020507" pitchFamily="18" charset="2"/>
            </a:rPr>
            <a:t>y</a:t>
          </a:r>
          <a:endParaRPr lang="en-GB" sz="1100"/>
        </a:p>
      </xdr:txBody>
    </xdr:sp>
    <xdr:clientData/>
  </xdr:twoCellAnchor>
  <xdr:twoCellAnchor>
    <xdr:from>
      <xdr:col>38</xdr:col>
      <xdr:colOff>533400</xdr:colOff>
      <xdr:row>55</xdr:row>
      <xdr:rowOff>137160</xdr:rowOff>
    </xdr:from>
    <xdr:to>
      <xdr:col>39</xdr:col>
      <xdr:colOff>266700</xdr:colOff>
      <xdr:row>57</xdr:row>
      <xdr:rowOff>129540</xdr:rowOff>
    </xdr:to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DBF933F6-683F-4566-A6F3-5CD57D717DEA}"/>
            </a:ext>
          </a:extLst>
        </xdr:cNvPr>
        <xdr:cNvSpPr txBox="1"/>
      </xdr:nvSpPr>
      <xdr:spPr>
        <a:xfrm>
          <a:off x="23698200" y="10195560"/>
          <a:ext cx="342900" cy="3581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ym typeface="Symbol" panose="05050102010706020507" pitchFamily="18" charset="2"/>
            </a:rPr>
            <a:t>x</a:t>
          </a:r>
          <a:endParaRPr lang="en-GB" sz="1100"/>
        </a:p>
      </xdr:txBody>
    </xdr:sp>
    <xdr:clientData/>
  </xdr:twoCellAnchor>
  <xdr:twoCellAnchor>
    <xdr:from>
      <xdr:col>34</xdr:col>
      <xdr:colOff>373380</xdr:colOff>
      <xdr:row>45</xdr:row>
      <xdr:rowOff>172136</xdr:rowOff>
    </xdr:from>
    <xdr:to>
      <xdr:col>38</xdr:col>
      <xdr:colOff>510540</xdr:colOff>
      <xdr:row>56</xdr:row>
      <xdr:rowOff>129540</xdr:rowOff>
    </xdr:to>
    <xdr:sp macro="" textlink="">
      <xdr:nvSpPr>
        <xdr:cNvPr id="36" name="Freeform: Shape 35">
          <a:extLst>
            <a:ext uri="{FF2B5EF4-FFF2-40B4-BE49-F238E27FC236}">
              <a16:creationId xmlns:a16="http://schemas.microsoft.com/office/drawing/2014/main" id="{3FED2D54-2B0D-42DD-B665-B332D89A08A2}"/>
            </a:ext>
          </a:extLst>
        </xdr:cNvPr>
        <xdr:cNvSpPr/>
      </xdr:nvSpPr>
      <xdr:spPr>
        <a:xfrm>
          <a:off x="21099780" y="8401736"/>
          <a:ext cx="2575560" cy="1969084"/>
        </a:xfrm>
        <a:custGeom>
          <a:avLst/>
          <a:gdLst>
            <a:gd name="connsiteX0" fmla="*/ 0 w 2575560"/>
            <a:gd name="connsiteY0" fmla="*/ 1969084 h 1969084"/>
            <a:gd name="connsiteX1" fmla="*/ 327660 w 2575560"/>
            <a:gd name="connsiteY1" fmla="*/ 1786204 h 1969084"/>
            <a:gd name="connsiteX2" fmla="*/ 701040 w 2575560"/>
            <a:gd name="connsiteY2" fmla="*/ 1313764 h 1969084"/>
            <a:gd name="connsiteX3" fmla="*/ 1059180 w 2575560"/>
            <a:gd name="connsiteY3" fmla="*/ 475564 h 1969084"/>
            <a:gd name="connsiteX4" fmla="*/ 1432560 w 2575560"/>
            <a:gd name="connsiteY4" fmla="*/ 64084 h 1969084"/>
            <a:gd name="connsiteX5" fmla="*/ 1775460 w 2575560"/>
            <a:gd name="connsiteY5" fmla="*/ 33604 h 1969084"/>
            <a:gd name="connsiteX6" fmla="*/ 2095500 w 2575560"/>
            <a:gd name="connsiteY6" fmla="*/ 384124 h 1969084"/>
            <a:gd name="connsiteX7" fmla="*/ 2331720 w 2575560"/>
            <a:gd name="connsiteY7" fmla="*/ 818464 h 1969084"/>
            <a:gd name="connsiteX8" fmla="*/ 2575560 w 2575560"/>
            <a:gd name="connsiteY8" fmla="*/ 1214704 h 1969084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</a:cxnLst>
          <a:rect l="l" t="t" r="r" b="b"/>
          <a:pathLst>
            <a:path w="2575560" h="1969084">
              <a:moveTo>
                <a:pt x="0" y="1969084"/>
              </a:moveTo>
              <a:cubicBezTo>
                <a:pt x="105410" y="1932254"/>
                <a:pt x="210820" y="1895424"/>
                <a:pt x="327660" y="1786204"/>
              </a:cubicBezTo>
              <a:cubicBezTo>
                <a:pt x="444500" y="1676984"/>
                <a:pt x="579120" y="1532204"/>
                <a:pt x="701040" y="1313764"/>
              </a:cubicBezTo>
              <a:cubicBezTo>
                <a:pt x="822960" y="1095324"/>
                <a:pt x="937260" y="683844"/>
                <a:pt x="1059180" y="475564"/>
              </a:cubicBezTo>
              <a:cubicBezTo>
                <a:pt x="1181100" y="267284"/>
                <a:pt x="1313180" y="137744"/>
                <a:pt x="1432560" y="64084"/>
              </a:cubicBezTo>
              <a:cubicBezTo>
                <a:pt x="1551940" y="-9576"/>
                <a:pt x="1664970" y="-19736"/>
                <a:pt x="1775460" y="33604"/>
              </a:cubicBezTo>
              <a:cubicBezTo>
                <a:pt x="1885950" y="86944"/>
                <a:pt x="2002790" y="253314"/>
                <a:pt x="2095500" y="384124"/>
              </a:cubicBezTo>
              <a:cubicBezTo>
                <a:pt x="2188210" y="514934"/>
                <a:pt x="2251710" y="680034"/>
                <a:pt x="2331720" y="818464"/>
              </a:cubicBezTo>
              <a:cubicBezTo>
                <a:pt x="2411730" y="956894"/>
                <a:pt x="2493645" y="1085799"/>
                <a:pt x="2575560" y="1214704"/>
              </a:cubicBezTo>
            </a:path>
          </a:pathLst>
        </a:cu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38</xdr:col>
      <xdr:colOff>190500</xdr:colOff>
      <xdr:row>22</xdr:row>
      <xdr:rowOff>45720</xdr:rowOff>
    </xdr:from>
    <xdr:to>
      <xdr:col>38</xdr:col>
      <xdr:colOff>449580</xdr:colOff>
      <xdr:row>25</xdr:row>
      <xdr:rowOff>175260</xdr:rowOff>
    </xdr:to>
    <xdr:sp macro="" textlink="">
      <xdr:nvSpPr>
        <xdr:cNvPr id="37" name="Rectangle 36">
          <a:extLst>
            <a:ext uri="{FF2B5EF4-FFF2-40B4-BE49-F238E27FC236}">
              <a16:creationId xmlns:a16="http://schemas.microsoft.com/office/drawing/2014/main" id="{E75F6778-38D2-4355-9E8D-5742C305C72B}"/>
            </a:ext>
          </a:extLst>
        </xdr:cNvPr>
        <xdr:cNvSpPr/>
      </xdr:nvSpPr>
      <xdr:spPr>
        <a:xfrm>
          <a:off x="23355300" y="4069080"/>
          <a:ext cx="259080" cy="67818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37</xdr:col>
      <xdr:colOff>525780</xdr:colOff>
      <xdr:row>19</xdr:row>
      <xdr:rowOff>83820</xdr:rowOff>
    </xdr:from>
    <xdr:to>
      <xdr:col>38</xdr:col>
      <xdr:colOff>175260</xdr:colOff>
      <xdr:row>25</xdr:row>
      <xdr:rowOff>175260</xdr:rowOff>
    </xdr:to>
    <xdr:sp macro="" textlink="">
      <xdr:nvSpPr>
        <xdr:cNvPr id="38" name="Rectangle 37">
          <a:extLst>
            <a:ext uri="{FF2B5EF4-FFF2-40B4-BE49-F238E27FC236}">
              <a16:creationId xmlns:a16="http://schemas.microsoft.com/office/drawing/2014/main" id="{02FDEBAD-0923-4064-BB50-F53F48E502B4}"/>
            </a:ext>
          </a:extLst>
        </xdr:cNvPr>
        <xdr:cNvSpPr/>
      </xdr:nvSpPr>
      <xdr:spPr>
        <a:xfrm>
          <a:off x="23080980" y="3558540"/>
          <a:ext cx="259080" cy="118872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37</xdr:col>
      <xdr:colOff>259080</xdr:colOff>
      <xdr:row>17</xdr:row>
      <xdr:rowOff>38100</xdr:rowOff>
    </xdr:from>
    <xdr:to>
      <xdr:col>37</xdr:col>
      <xdr:colOff>518160</xdr:colOff>
      <xdr:row>26</xdr:row>
      <xdr:rowOff>0</xdr:rowOff>
    </xdr:to>
    <xdr:sp macro="" textlink="">
      <xdr:nvSpPr>
        <xdr:cNvPr id="39" name="Rectangle 38">
          <a:extLst>
            <a:ext uri="{FF2B5EF4-FFF2-40B4-BE49-F238E27FC236}">
              <a16:creationId xmlns:a16="http://schemas.microsoft.com/office/drawing/2014/main" id="{D6968BC7-8F3E-4B7C-924F-2DDE70948E9B}"/>
            </a:ext>
          </a:extLst>
        </xdr:cNvPr>
        <xdr:cNvSpPr/>
      </xdr:nvSpPr>
      <xdr:spPr>
        <a:xfrm>
          <a:off x="22814280" y="3147060"/>
          <a:ext cx="259080" cy="160782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36</xdr:col>
      <xdr:colOff>594360</xdr:colOff>
      <xdr:row>16</xdr:row>
      <xdr:rowOff>76200</xdr:rowOff>
    </xdr:from>
    <xdr:to>
      <xdr:col>37</xdr:col>
      <xdr:colOff>243840</xdr:colOff>
      <xdr:row>25</xdr:row>
      <xdr:rowOff>175260</xdr:rowOff>
    </xdr:to>
    <xdr:sp macro="" textlink="">
      <xdr:nvSpPr>
        <xdr:cNvPr id="40" name="Rectangle 39">
          <a:extLst>
            <a:ext uri="{FF2B5EF4-FFF2-40B4-BE49-F238E27FC236}">
              <a16:creationId xmlns:a16="http://schemas.microsoft.com/office/drawing/2014/main" id="{F980C5DA-93FE-4FE6-ACE5-56A41F9F4138}"/>
            </a:ext>
          </a:extLst>
        </xdr:cNvPr>
        <xdr:cNvSpPr/>
      </xdr:nvSpPr>
      <xdr:spPr>
        <a:xfrm>
          <a:off x="22539960" y="3002280"/>
          <a:ext cx="259080" cy="174498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36</xdr:col>
      <xdr:colOff>320040</xdr:colOff>
      <xdr:row>17</xdr:row>
      <xdr:rowOff>144780</xdr:rowOff>
    </xdr:from>
    <xdr:to>
      <xdr:col>36</xdr:col>
      <xdr:colOff>579120</xdr:colOff>
      <xdr:row>25</xdr:row>
      <xdr:rowOff>175260</xdr:rowOff>
    </xdr:to>
    <xdr:sp macro="" textlink="">
      <xdr:nvSpPr>
        <xdr:cNvPr id="41" name="Rectangle 40">
          <a:extLst>
            <a:ext uri="{FF2B5EF4-FFF2-40B4-BE49-F238E27FC236}">
              <a16:creationId xmlns:a16="http://schemas.microsoft.com/office/drawing/2014/main" id="{BA9B2C7C-B387-44BD-8A0E-C5AD5A8FA0A8}"/>
            </a:ext>
          </a:extLst>
        </xdr:cNvPr>
        <xdr:cNvSpPr/>
      </xdr:nvSpPr>
      <xdr:spPr>
        <a:xfrm>
          <a:off x="22265640" y="3253740"/>
          <a:ext cx="259080" cy="149352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36</xdr:col>
      <xdr:colOff>60960</xdr:colOff>
      <xdr:row>20</xdr:row>
      <xdr:rowOff>144780</xdr:rowOff>
    </xdr:from>
    <xdr:to>
      <xdr:col>36</xdr:col>
      <xdr:colOff>320040</xdr:colOff>
      <xdr:row>25</xdr:row>
      <xdr:rowOff>175260</xdr:rowOff>
    </xdr:to>
    <xdr:sp macro="" textlink="">
      <xdr:nvSpPr>
        <xdr:cNvPr id="42" name="Rectangle 41">
          <a:extLst>
            <a:ext uri="{FF2B5EF4-FFF2-40B4-BE49-F238E27FC236}">
              <a16:creationId xmlns:a16="http://schemas.microsoft.com/office/drawing/2014/main" id="{7919F38A-8CB1-4FAD-A321-98F29DCA100C}"/>
            </a:ext>
          </a:extLst>
        </xdr:cNvPr>
        <xdr:cNvSpPr/>
      </xdr:nvSpPr>
      <xdr:spPr>
        <a:xfrm>
          <a:off x="22006560" y="3802380"/>
          <a:ext cx="259080" cy="94488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35</xdr:col>
      <xdr:colOff>396240</xdr:colOff>
      <xdr:row>23</xdr:row>
      <xdr:rowOff>160020</xdr:rowOff>
    </xdr:from>
    <xdr:to>
      <xdr:col>36</xdr:col>
      <xdr:colOff>45720</xdr:colOff>
      <xdr:row>26</xdr:row>
      <xdr:rowOff>7620</xdr:rowOff>
    </xdr:to>
    <xdr:sp macro="" textlink="">
      <xdr:nvSpPr>
        <xdr:cNvPr id="43" name="Rectangle 42">
          <a:extLst>
            <a:ext uri="{FF2B5EF4-FFF2-40B4-BE49-F238E27FC236}">
              <a16:creationId xmlns:a16="http://schemas.microsoft.com/office/drawing/2014/main" id="{EA5C31C8-2E7F-4BF3-9A5D-D3C55FD692D7}"/>
            </a:ext>
          </a:extLst>
        </xdr:cNvPr>
        <xdr:cNvSpPr/>
      </xdr:nvSpPr>
      <xdr:spPr>
        <a:xfrm>
          <a:off x="21732240" y="4366260"/>
          <a:ext cx="259080" cy="39624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35</xdr:col>
      <xdr:colOff>121920</xdr:colOff>
      <xdr:row>25</xdr:row>
      <xdr:rowOff>114300</xdr:rowOff>
    </xdr:from>
    <xdr:to>
      <xdr:col>35</xdr:col>
      <xdr:colOff>381000</xdr:colOff>
      <xdr:row>26</xdr:row>
      <xdr:rowOff>7620</xdr:rowOff>
    </xdr:to>
    <xdr:sp macro="" textlink="">
      <xdr:nvSpPr>
        <xdr:cNvPr id="44" name="Rectangle 43">
          <a:extLst>
            <a:ext uri="{FF2B5EF4-FFF2-40B4-BE49-F238E27FC236}">
              <a16:creationId xmlns:a16="http://schemas.microsoft.com/office/drawing/2014/main" id="{6B8F842A-9047-4E5C-AC42-911A2C778AF4}"/>
            </a:ext>
          </a:extLst>
        </xdr:cNvPr>
        <xdr:cNvSpPr/>
      </xdr:nvSpPr>
      <xdr:spPr>
        <a:xfrm>
          <a:off x="21457920" y="4686300"/>
          <a:ext cx="259080" cy="762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38</xdr:col>
      <xdr:colOff>396240</xdr:colOff>
      <xdr:row>36</xdr:row>
      <xdr:rowOff>53340</xdr:rowOff>
    </xdr:from>
    <xdr:to>
      <xdr:col>38</xdr:col>
      <xdr:colOff>457200</xdr:colOff>
      <xdr:row>40</xdr:row>
      <xdr:rowOff>0</xdr:rowOff>
    </xdr:to>
    <xdr:sp macro="" textlink="">
      <xdr:nvSpPr>
        <xdr:cNvPr id="45" name="Rectangle 44">
          <a:extLst>
            <a:ext uri="{FF2B5EF4-FFF2-40B4-BE49-F238E27FC236}">
              <a16:creationId xmlns:a16="http://schemas.microsoft.com/office/drawing/2014/main" id="{8680F13C-B811-4133-9CD0-F976A743E303}"/>
            </a:ext>
          </a:extLst>
        </xdr:cNvPr>
        <xdr:cNvSpPr/>
      </xdr:nvSpPr>
      <xdr:spPr>
        <a:xfrm>
          <a:off x="23561040" y="6637020"/>
          <a:ext cx="60960" cy="67818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38</xdr:col>
      <xdr:colOff>251460</xdr:colOff>
      <xdr:row>35</xdr:row>
      <xdr:rowOff>38100</xdr:rowOff>
    </xdr:from>
    <xdr:to>
      <xdr:col>38</xdr:col>
      <xdr:colOff>327659</xdr:colOff>
      <xdr:row>40</xdr:row>
      <xdr:rowOff>0</xdr:rowOff>
    </xdr:to>
    <xdr:sp macro="" textlink="">
      <xdr:nvSpPr>
        <xdr:cNvPr id="46" name="Rectangle 45">
          <a:extLst>
            <a:ext uri="{FF2B5EF4-FFF2-40B4-BE49-F238E27FC236}">
              <a16:creationId xmlns:a16="http://schemas.microsoft.com/office/drawing/2014/main" id="{F3E4D883-312A-4A2A-B880-6FD758EAF9FE}"/>
            </a:ext>
          </a:extLst>
        </xdr:cNvPr>
        <xdr:cNvSpPr/>
      </xdr:nvSpPr>
      <xdr:spPr>
        <a:xfrm>
          <a:off x="23416260" y="6438900"/>
          <a:ext cx="76199" cy="8763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38</xdr:col>
      <xdr:colOff>190500</xdr:colOff>
      <xdr:row>34</xdr:row>
      <xdr:rowOff>91440</xdr:rowOff>
    </xdr:from>
    <xdr:to>
      <xdr:col>38</xdr:col>
      <xdr:colOff>259080</xdr:colOff>
      <xdr:row>39</xdr:row>
      <xdr:rowOff>175260</xdr:rowOff>
    </xdr:to>
    <xdr:sp macro="" textlink="">
      <xdr:nvSpPr>
        <xdr:cNvPr id="47" name="Rectangle 46">
          <a:extLst>
            <a:ext uri="{FF2B5EF4-FFF2-40B4-BE49-F238E27FC236}">
              <a16:creationId xmlns:a16="http://schemas.microsoft.com/office/drawing/2014/main" id="{CEC99BF3-B29B-4D64-98FF-B872F0635B48}"/>
            </a:ext>
          </a:extLst>
        </xdr:cNvPr>
        <xdr:cNvSpPr/>
      </xdr:nvSpPr>
      <xdr:spPr>
        <a:xfrm>
          <a:off x="23355300" y="6309360"/>
          <a:ext cx="68580" cy="99822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38</xdr:col>
      <xdr:colOff>121920</xdr:colOff>
      <xdr:row>33</xdr:row>
      <xdr:rowOff>144780</xdr:rowOff>
    </xdr:from>
    <xdr:to>
      <xdr:col>38</xdr:col>
      <xdr:colOff>182880</xdr:colOff>
      <xdr:row>40</xdr:row>
      <xdr:rowOff>0</xdr:rowOff>
    </xdr:to>
    <xdr:sp macro="" textlink="">
      <xdr:nvSpPr>
        <xdr:cNvPr id="48" name="Rectangle 47">
          <a:extLst>
            <a:ext uri="{FF2B5EF4-FFF2-40B4-BE49-F238E27FC236}">
              <a16:creationId xmlns:a16="http://schemas.microsoft.com/office/drawing/2014/main" id="{5E29732B-B84E-4B59-84F8-A5FCFEA84554}"/>
            </a:ext>
          </a:extLst>
        </xdr:cNvPr>
        <xdr:cNvSpPr/>
      </xdr:nvSpPr>
      <xdr:spPr>
        <a:xfrm>
          <a:off x="23286720" y="6179820"/>
          <a:ext cx="60960" cy="113538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38</xdr:col>
      <xdr:colOff>53340</xdr:colOff>
      <xdr:row>33</xdr:row>
      <xdr:rowOff>22860</xdr:rowOff>
    </xdr:from>
    <xdr:to>
      <xdr:col>38</xdr:col>
      <xdr:colOff>121920</xdr:colOff>
      <xdr:row>39</xdr:row>
      <xdr:rowOff>175260</xdr:rowOff>
    </xdr:to>
    <xdr:sp macro="" textlink="">
      <xdr:nvSpPr>
        <xdr:cNvPr id="49" name="Rectangle 48">
          <a:extLst>
            <a:ext uri="{FF2B5EF4-FFF2-40B4-BE49-F238E27FC236}">
              <a16:creationId xmlns:a16="http://schemas.microsoft.com/office/drawing/2014/main" id="{62A1C0D6-BFD8-4207-89F5-7135784D504F}"/>
            </a:ext>
          </a:extLst>
        </xdr:cNvPr>
        <xdr:cNvSpPr/>
      </xdr:nvSpPr>
      <xdr:spPr>
        <a:xfrm>
          <a:off x="23218140" y="6057900"/>
          <a:ext cx="68580" cy="124968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38</xdr:col>
      <xdr:colOff>335280</xdr:colOff>
      <xdr:row>35</xdr:row>
      <xdr:rowOff>91440</xdr:rowOff>
    </xdr:from>
    <xdr:to>
      <xdr:col>38</xdr:col>
      <xdr:colOff>411480</xdr:colOff>
      <xdr:row>39</xdr:row>
      <xdr:rowOff>175260</xdr:rowOff>
    </xdr:to>
    <xdr:sp macro="" textlink="">
      <xdr:nvSpPr>
        <xdr:cNvPr id="50" name="Rectangle 49">
          <a:extLst>
            <a:ext uri="{FF2B5EF4-FFF2-40B4-BE49-F238E27FC236}">
              <a16:creationId xmlns:a16="http://schemas.microsoft.com/office/drawing/2014/main" id="{CADDB1F7-6E1C-42E7-946F-324DBF2D96DF}"/>
            </a:ext>
          </a:extLst>
        </xdr:cNvPr>
        <xdr:cNvSpPr/>
      </xdr:nvSpPr>
      <xdr:spPr>
        <a:xfrm>
          <a:off x="23500080" y="6492240"/>
          <a:ext cx="76200" cy="81534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37</xdr:col>
      <xdr:colOff>586740</xdr:colOff>
      <xdr:row>32</xdr:row>
      <xdr:rowOff>38100</xdr:rowOff>
    </xdr:from>
    <xdr:to>
      <xdr:col>38</xdr:col>
      <xdr:colOff>38100</xdr:colOff>
      <xdr:row>39</xdr:row>
      <xdr:rowOff>175260</xdr:rowOff>
    </xdr:to>
    <xdr:sp macro="" textlink="">
      <xdr:nvSpPr>
        <xdr:cNvPr id="51" name="Rectangle 50">
          <a:extLst>
            <a:ext uri="{FF2B5EF4-FFF2-40B4-BE49-F238E27FC236}">
              <a16:creationId xmlns:a16="http://schemas.microsoft.com/office/drawing/2014/main" id="{DCC94190-0B74-4A31-8D43-4A4C564ECF34}"/>
            </a:ext>
          </a:extLst>
        </xdr:cNvPr>
        <xdr:cNvSpPr/>
      </xdr:nvSpPr>
      <xdr:spPr>
        <a:xfrm>
          <a:off x="23141940" y="5890260"/>
          <a:ext cx="60960" cy="141732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37</xdr:col>
      <xdr:colOff>518160</xdr:colOff>
      <xdr:row>31</xdr:row>
      <xdr:rowOff>121920</xdr:rowOff>
    </xdr:from>
    <xdr:to>
      <xdr:col>37</xdr:col>
      <xdr:colOff>586740</xdr:colOff>
      <xdr:row>40</xdr:row>
      <xdr:rowOff>0</xdr:rowOff>
    </xdr:to>
    <xdr:sp macro="" textlink="">
      <xdr:nvSpPr>
        <xdr:cNvPr id="52" name="Rectangle 51">
          <a:extLst>
            <a:ext uri="{FF2B5EF4-FFF2-40B4-BE49-F238E27FC236}">
              <a16:creationId xmlns:a16="http://schemas.microsoft.com/office/drawing/2014/main" id="{625093BD-B957-4F2D-97F6-9566F6923098}"/>
            </a:ext>
          </a:extLst>
        </xdr:cNvPr>
        <xdr:cNvSpPr/>
      </xdr:nvSpPr>
      <xdr:spPr>
        <a:xfrm>
          <a:off x="23073360" y="5791200"/>
          <a:ext cx="68580" cy="15240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37</xdr:col>
      <xdr:colOff>441960</xdr:colOff>
      <xdr:row>31</xdr:row>
      <xdr:rowOff>30480</xdr:rowOff>
    </xdr:from>
    <xdr:to>
      <xdr:col>37</xdr:col>
      <xdr:colOff>502920</xdr:colOff>
      <xdr:row>39</xdr:row>
      <xdr:rowOff>175260</xdr:rowOff>
    </xdr:to>
    <xdr:sp macro="" textlink="">
      <xdr:nvSpPr>
        <xdr:cNvPr id="53" name="Rectangle 52">
          <a:extLst>
            <a:ext uri="{FF2B5EF4-FFF2-40B4-BE49-F238E27FC236}">
              <a16:creationId xmlns:a16="http://schemas.microsoft.com/office/drawing/2014/main" id="{774CBDF0-65EF-4BF7-90CE-774AAF368C22}"/>
            </a:ext>
          </a:extLst>
        </xdr:cNvPr>
        <xdr:cNvSpPr/>
      </xdr:nvSpPr>
      <xdr:spPr>
        <a:xfrm>
          <a:off x="22997160" y="5699760"/>
          <a:ext cx="60960" cy="160782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37</xdr:col>
      <xdr:colOff>373380</xdr:colOff>
      <xdr:row>30</xdr:row>
      <xdr:rowOff>144780</xdr:rowOff>
    </xdr:from>
    <xdr:to>
      <xdr:col>37</xdr:col>
      <xdr:colOff>434340</xdr:colOff>
      <xdr:row>39</xdr:row>
      <xdr:rowOff>175260</xdr:rowOff>
    </xdr:to>
    <xdr:sp macro="" textlink="">
      <xdr:nvSpPr>
        <xdr:cNvPr id="54" name="Rectangle 53">
          <a:extLst>
            <a:ext uri="{FF2B5EF4-FFF2-40B4-BE49-F238E27FC236}">
              <a16:creationId xmlns:a16="http://schemas.microsoft.com/office/drawing/2014/main" id="{7D4C4A6F-3679-4E5D-99ED-5AE99AE6F175}"/>
            </a:ext>
          </a:extLst>
        </xdr:cNvPr>
        <xdr:cNvSpPr/>
      </xdr:nvSpPr>
      <xdr:spPr>
        <a:xfrm>
          <a:off x="22928580" y="5631180"/>
          <a:ext cx="60960" cy="1676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37</xdr:col>
      <xdr:colOff>289560</xdr:colOff>
      <xdr:row>30</xdr:row>
      <xdr:rowOff>60960</xdr:rowOff>
    </xdr:from>
    <xdr:to>
      <xdr:col>37</xdr:col>
      <xdr:colOff>358140</xdr:colOff>
      <xdr:row>39</xdr:row>
      <xdr:rowOff>175260</xdr:rowOff>
    </xdr:to>
    <xdr:sp macro="" textlink="">
      <xdr:nvSpPr>
        <xdr:cNvPr id="55" name="Rectangle 54">
          <a:extLst>
            <a:ext uri="{FF2B5EF4-FFF2-40B4-BE49-F238E27FC236}">
              <a16:creationId xmlns:a16="http://schemas.microsoft.com/office/drawing/2014/main" id="{9BE509E6-EB95-4CB0-83B5-BAC2D44B3361}"/>
            </a:ext>
          </a:extLst>
        </xdr:cNvPr>
        <xdr:cNvSpPr/>
      </xdr:nvSpPr>
      <xdr:spPr>
        <a:xfrm>
          <a:off x="22844760" y="5547360"/>
          <a:ext cx="68580" cy="176022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37</xdr:col>
      <xdr:colOff>213360</xdr:colOff>
      <xdr:row>30</xdr:row>
      <xdr:rowOff>15240</xdr:rowOff>
    </xdr:from>
    <xdr:to>
      <xdr:col>37</xdr:col>
      <xdr:colOff>304800</xdr:colOff>
      <xdr:row>39</xdr:row>
      <xdr:rowOff>175260</xdr:rowOff>
    </xdr:to>
    <xdr:sp macro="" textlink="">
      <xdr:nvSpPr>
        <xdr:cNvPr id="56" name="Rectangle 55">
          <a:extLst>
            <a:ext uri="{FF2B5EF4-FFF2-40B4-BE49-F238E27FC236}">
              <a16:creationId xmlns:a16="http://schemas.microsoft.com/office/drawing/2014/main" id="{5DFC1AE1-C5A6-4056-B59D-7173EA031DDE}"/>
            </a:ext>
          </a:extLst>
        </xdr:cNvPr>
        <xdr:cNvSpPr/>
      </xdr:nvSpPr>
      <xdr:spPr>
        <a:xfrm>
          <a:off x="22768560" y="5501640"/>
          <a:ext cx="91440" cy="180594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37</xdr:col>
      <xdr:colOff>129540</xdr:colOff>
      <xdr:row>30</xdr:row>
      <xdr:rowOff>0</xdr:rowOff>
    </xdr:from>
    <xdr:to>
      <xdr:col>37</xdr:col>
      <xdr:colOff>205740</xdr:colOff>
      <xdr:row>40</xdr:row>
      <xdr:rowOff>0</xdr:rowOff>
    </xdr:to>
    <xdr:sp macro="" textlink="">
      <xdr:nvSpPr>
        <xdr:cNvPr id="57" name="Rectangle 56">
          <a:extLst>
            <a:ext uri="{FF2B5EF4-FFF2-40B4-BE49-F238E27FC236}">
              <a16:creationId xmlns:a16="http://schemas.microsoft.com/office/drawing/2014/main" id="{34EA635E-2087-4289-A0E4-BA612AB7B673}"/>
            </a:ext>
          </a:extLst>
        </xdr:cNvPr>
        <xdr:cNvSpPr/>
      </xdr:nvSpPr>
      <xdr:spPr>
        <a:xfrm>
          <a:off x="22684740" y="5486400"/>
          <a:ext cx="76200" cy="18288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37</xdr:col>
      <xdr:colOff>53340</xdr:colOff>
      <xdr:row>30</xdr:row>
      <xdr:rowOff>15240</xdr:rowOff>
    </xdr:from>
    <xdr:to>
      <xdr:col>37</xdr:col>
      <xdr:colOff>129540</xdr:colOff>
      <xdr:row>40</xdr:row>
      <xdr:rowOff>0</xdr:rowOff>
    </xdr:to>
    <xdr:sp macro="" textlink="">
      <xdr:nvSpPr>
        <xdr:cNvPr id="58" name="Rectangle 57">
          <a:extLst>
            <a:ext uri="{FF2B5EF4-FFF2-40B4-BE49-F238E27FC236}">
              <a16:creationId xmlns:a16="http://schemas.microsoft.com/office/drawing/2014/main" id="{F43FCA76-35D3-4699-B295-143FC5FCAB8C}"/>
            </a:ext>
          </a:extLst>
        </xdr:cNvPr>
        <xdr:cNvSpPr/>
      </xdr:nvSpPr>
      <xdr:spPr>
        <a:xfrm>
          <a:off x="22608540" y="5501640"/>
          <a:ext cx="76200" cy="181356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36</xdr:col>
      <xdr:colOff>579120</xdr:colOff>
      <xdr:row>30</xdr:row>
      <xdr:rowOff>76200</xdr:rowOff>
    </xdr:from>
    <xdr:to>
      <xdr:col>37</xdr:col>
      <xdr:colOff>38100</xdr:colOff>
      <xdr:row>39</xdr:row>
      <xdr:rowOff>175260</xdr:rowOff>
    </xdr:to>
    <xdr:sp macro="" textlink="">
      <xdr:nvSpPr>
        <xdr:cNvPr id="59" name="Rectangle 58">
          <a:extLst>
            <a:ext uri="{FF2B5EF4-FFF2-40B4-BE49-F238E27FC236}">
              <a16:creationId xmlns:a16="http://schemas.microsoft.com/office/drawing/2014/main" id="{E13BD88F-1060-4FA7-9D0D-74E743080FB5}"/>
            </a:ext>
          </a:extLst>
        </xdr:cNvPr>
        <xdr:cNvSpPr/>
      </xdr:nvSpPr>
      <xdr:spPr>
        <a:xfrm>
          <a:off x="22524720" y="5562600"/>
          <a:ext cx="68580" cy="174498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36</xdr:col>
      <xdr:colOff>502920</xdr:colOff>
      <xdr:row>30</xdr:row>
      <xdr:rowOff>121920</xdr:rowOff>
    </xdr:from>
    <xdr:to>
      <xdr:col>36</xdr:col>
      <xdr:colOff>579120</xdr:colOff>
      <xdr:row>39</xdr:row>
      <xdr:rowOff>175260</xdr:rowOff>
    </xdr:to>
    <xdr:sp macro="" textlink="">
      <xdr:nvSpPr>
        <xdr:cNvPr id="60" name="Rectangle 59">
          <a:extLst>
            <a:ext uri="{FF2B5EF4-FFF2-40B4-BE49-F238E27FC236}">
              <a16:creationId xmlns:a16="http://schemas.microsoft.com/office/drawing/2014/main" id="{8511C1D4-418C-4489-8BD5-96242ED9D610}"/>
            </a:ext>
          </a:extLst>
        </xdr:cNvPr>
        <xdr:cNvSpPr/>
      </xdr:nvSpPr>
      <xdr:spPr>
        <a:xfrm>
          <a:off x="22448520" y="5608320"/>
          <a:ext cx="76200" cy="169926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36</xdr:col>
      <xdr:colOff>434340</xdr:colOff>
      <xdr:row>31</xdr:row>
      <xdr:rowOff>22860</xdr:rowOff>
    </xdr:from>
    <xdr:to>
      <xdr:col>36</xdr:col>
      <xdr:colOff>487680</xdr:colOff>
      <xdr:row>39</xdr:row>
      <xdr:rowOff>175260</xdr:rowOff>
    </xdr:to>
    <xdr:sp macro="" textlink="">
      <xdr:nvSpPr>
        <xdr:cNvPr id="61" name="Rectangle 60">
          <a:extLst>
            <a:ext uri="{FF2B5EF4-FFF2-40B4-BE49-F238E27FC236}">
              <a16:creationId xmlns:a16="http://schemas.microsoft.com/office/drawing/2014/main" id="{7BCF0379-7F41-43F4-B04F-2A0DB9FC760C}"/>
            </a:ext>
          </a:extLst>
        </xdr:cNvPr>
        <xdr:cNvSpPr/>
      </xdr:nvSpPr>
      <xdr:spPr>
        <a:xfrm>
          <a:off x="22379940" y="5692140"/>
          <a:ext cx="53340" cy="161544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36</xdr:col>
      <xdr:colOff>358140</xdr:colOff>
      <xdr:row>31</xdr:row>
      <xdr:rowOff>83820</xdr:rowOff>
    </xdr:from>
    <xdr:to>
      <xdr:col>36</xdr:col>
      <xdr:colOff>419100</xdr:colOff>
      <xdr:row>39</xdr:row>
      <xdr:rowOff>175260</xdr:rowOff>
    </xdr:to>
    <xdr:sp macro="" textlink="">
      <xdr:nvSpPr>
        <xdr:cNvPr id="62" name="Rectangle 61">
          <a:extLst>
            <a:ext uri="{FF2B5EF4-FFF2-40B4-BE49-F238E27FC236}">
              <a16:creationId xmlns:a16="http://schemas.microsoft.com/office/drawing/2014/main" id="{D76E8FC0-3470-4A24-8627-58FEFCFD841E}"/>
            </a:ext>
          </a:extLst>
        </xdr:cNvPr>
        <xdr:cNvSpPr/>
      </xdr:nvSpPr>
      <xdr:spPr>
        <a:xfrm>
          <a:off x="22303740" y="5753100"/>
          <a:ext cx="60960" cy="155448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36</xdr:col>
      <xdr:colOff>289560</xdr:colOff>
      <xdr:row>31</xdr:row>
      <xdr:rowOff>175260</xdr:rowOff>
    </xdr:from>
    <xdr:to>
      <xdr:col>36</xdr:col>
      <xdr:colOff>358140</xdr:colOff>
      <xdr:row>39</xdr:row>
      <xdr:rowOff>175260</xdr:rowOff>
    </xdr:to>
    <xdr:sp macro="" textlink="">
      <xdr:nvSpPr>
        <xdr:cNvPr id="63" name="Rectangle 62">
          <a:extLst>
            <a:ext uri="{FF2B5EF4-FFF2-40B4-BE49-F238E27FC236}">
              <a16:creationId xmlns:a16="http://schemas.microsoft.com/office/drawing/2014/main" id="{D86FABAF-6A01-4BB1-A051-49E5302C396E}"/>
            </a:ext>
          </a:extLst>
        </xdr:cNvPr>
        <xdr:cNvSpPr/>
      </xdr:nvSpPr>
      <xdr:spPr>
        <a:xfrm>
          <a:off x="22235160" y="5844540"/>
          <a:ext cx="68580" cy="146304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36</xdr:col>
      <xdr:colOff>213360</xdr:colOff>
      <xdr:row>32</xdr:row>
      <xdr:rowOff>99060</xdr:rowOff>
    </xdr:from>
    <xdr:to>
      <xdr:col>36</xdr:col>
      <xdr:colOff>289560</xdr:colOff>
      <xdr:row>39</xdr:row>
      <xdr:rowOff>175260</xdr:rowOff>
    </xdr:to>
    <xdr:sp macro="" textlink="">
      <xdr:nvSpPr>
        <xdr:cNvPr id="64" name="Rectangle 63">
          <a:extLst>
            <a:ext uri="{FF2B5EF4-FFF2-40B4-BE49-F238E27FC236}">
              <a16:creationId xmlns:a16="http://schemas.microsoft.com/office/drawing/2014/main" id="{981DE7F6-20C0-4A96-9F8B-EF317187C418}"/>
            </a:ext>
          </a:extLst>
        </xdr:cNvPr>
        <xdr:cNvSpPr/>
      </xdr:nvSpPr>
      <xdr:spPr>
        <a:xfrm>
          <a:off x="22158960" y="5951220"/>
          <a:ext cx="76200" cy="135636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36</xdr:col>
      <xdr:colOff>144780</xdr:colOff>
      <xdr:row>33</xdr:row>
      <xdr:rowOff>60960</xdr:rowOff>
    </xdr:from>
    <xdr:to>
      <xdr:col>36</xdr:col>
      <xdr:colOff>220980</xdr:colOff>
      <xdr:row>39</xdr:row>
      <xdr:rowOff>175260</xdr:rowOff>
    </xdr:to>
    <xdr:sp macro="" textlink="">
      <xdr:nvSpPr>
        <xdr:cNvPr id="65" name="Rectangle 64">
          <a:extLst>
            <a:ext uri="{FF2B5EF4-FFF2-40B4-BE49-F238E27FC236}">
              <a16:creationId xmlns:a16="http://schemas.microsoft.com/office/drawing/2014/main" id="{545FD61C-E265-4AC5-8F7C-4C96149E6223}"/>
            </a:ext>
          </a:extLst>
        </xdr:cNvPr>
        <xdr:cNvSpPr/>
      </xdr:nvSpPr>
      <xdr:spPr>
        <a:xfrm>
          <a:off x="22090380" y="6096000"/>
          <a:ext cx="76200" cy="121158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36</xdr:col>
      <xdr:colOff>76200</xdr:colOff>
      <xdr:row>34</xdr:row>
      <xdr:rowOff>60960</xdr:rowOff>
    </xdr:from>
    <xdr:to>
      <xdr:col>36</xdr:col>
      <xdr:colOff>129540</xdr:colOff>
      <xdr:row>39</xdr:row>
      <xdr:rowOff>175260</xdr:rowOff>
    </xdr:to>
    <xdr:sp macro="" textlink="">
      <xdr:nvSpPr>
        <xdr:cNvPr id="66" name="Rectangle 65">
          <a:extLst>
            <a:ext uri="{FF2B5EF4-FFF2-40B4-BE49-F238E27FC236}">
              <a16:creationId xmlns:a16="http://schemas.microsoft.com/office/drawing/2014/main" id="{B762D105-C5CE-4B80-864E-E4897DC17BBF}"/>
            </a:ext>
          </a:extLst>
        </xdr:cNvPr>
        <xdr:cNvSpPr/>
      </xdr:nvSpPr>
      <xdr:spPr>
        <a:xfrm>
          <a:off x="22021800" y="6278880"/>
          <a:ext cx="53340" cy="10287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36</xdr:col>
      <xdr:colOff>0</xdr:colOff>
      <xdr:row>35</xdr:row>
      <xdr:rowOff>83820</xdr:rowOff>
    </xdr:from>
    <xdr:to>
      <xdr:col>36</xdr:col>
      <xdr:colOff>60960</xdr:colOff>
      <xdr:row>39</xdr:row>
      <xdr:rowOff>175260</xdr:rowOff>
    </xdr:to>
    <xdr:sp macro="" textlink="">
      <xdr:nvSpPr>
        <xdr:cNvPr id="67" name="Rectangle 66">
          <a:extLst>
            <a:ext uri="{FF2B5EF4-FFF2-40B4-BE49-F238E27FC236}">
              <a16:creationId xmlns:a16="http://schemas.microsoft.com/office/drawing/2014/main" id="{353B374F-BC80-4D75-A5F0-EC5D32BE0D3F}"/>
            </a:ext>
          </a:extLst>
        </xdr:cNvPr>
        <xdr:cNvSpPr/>
      </xdr:nvSpPr>
      <xdr:spPr>
        <a:xfrm>
          <a:off x="21945600" y="6484620"/>
          <a:ext cx="60960" cy="82296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35</xdr:col>
      <xdr:colOff>541020</xdr:colOff>
      <xdr:row>36</xdr:row>
      <xdr:rowOff>53340</xdr:rowOff>
    </xdr:from>
    <xdr:to>
      <xdr:col>35</xdr:col>
      <xdr:colOff>594360</xdr:colOff>
      <xdr:row>39</xdr:row>
      <xdr:rowOff>175260</xdr:rowOff>
    </xdr:to>
    <xdr:sp macro="" textlink="">
      <xdr:nvSpPr>
        <xdr:cNvPr id="68" name="Rectangle 67">
          <a:extLst>
            <a:ext uri="{FF2B5EF4-FFF2-40B4-BE49-F238E27FC236}">
              <a16:creationId xmlns:a16="http://schemas.microsoft.com/office/drawing/2014/main" id="{423DC623-ED2F-47AE-B918-AAB36FFECA9F}"/>
            </a:ext>
          </a:extLst>
        </xdr:cNvPr>
        <xdr:cNvSpPr/>
      </xdr:nvSpPr>
      <xdr:spPr>
        <a:xfrm>
          <a:off x="21877020" y="6637020"/>
          <a:ext cx="53340" cy="67056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35</xdr:col>
      <xdr:colOff>457200</xdr:colOff>
      <xdr:row>37</xdr:row>
      <xdr:rowOff>22860</xdr:rowOff>
    </xdr:from>
    <xdr:to>
      <xdr:col>35</xdr:col>
      <xdr:colOff>533400</xdr:colOff>
      <xdr:row>40</xdr:row>
      <xdr:rowOff>0</xdr:rowOff>
    </xdr:to>
    <xdr:sp macro="" textlink="">
      <xdr:nvSpPr>
        <xdr:cNvPr id="69" name="Rectangle 68">
          <a:extLst>
            <a:ext uri="{FF2B5EF4-FFF2-40B4-BE49-F238E27FC236}">
              <a16:creationId xmlns:a16="http://schemas.microsoft.com/office/drawing/2014/main" id="{410C46FD-AC06-47BC-880D-DED25C3E7A58}"/>
            </a:ext>
          </a:extLst>
        </xdr:cNvPr>
        <xdr:cNvSpPr/>
      </xdr:nvSpPr>
      <xdr:spPr>
        <a:xfrm>
          <a:off x="21793200" y="6789420"/>
          <a:ext cx="76200" cy="52578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35</xdr:col>
      <xdr:colOff>373380</xdr:colOff>
      <xdr:row>37</xdr:row>
      <xdr:rowOff>167640</xdr:rowOff>
    </xdr:from>
    <xdr:to>
      <xdr:col>35</xdr:col>
      <xdr:colOff>441960</xdr:colOff>
      <xdr:row>40</xdr:row>
      <xdr:rowOff>0</xdr:rowOff>
    </xdr:to>
    <xdr:sp macro="" textlink="">
      <xdr:nvSpPr>
        <xdr:cNvPr id="70" name="Rectangle 69">
          <a:extLst>
            <a:ext uri="{FF2B5EF4-FFF2-40B4-BE49-F238E27FC236}">
              <a16:creationId xmlns:a16="http://schemas.microsoft.com/office/drawing/2014/main" id="{BEA3ED3E-9900-40D9-A51F-1000C4FC7303}"/>
            </a:ext>
          </a:extLst>
        </xdr:cNvPr>
        <xdr:cNvSpPr/>
      </xdr:nvSpPr>
      <xdr:spPr>
        <a:xfrm>
          <a:off x="21709380" y="6934200"/>
          <a:ext cx="68580" cy="3810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35</xdr:col>
      <xdr:colOff>281940</xdr:colOff>
      <xdr:row>38</xdr:row>
      <xdr:rowOff>99060</xdr:rowOff>
    </xdr:from>
    <xdr:to>
      <xdr:col>35</xdr:col>
      <xdr:colOff>365760</xdr:colOff>
      <xdr:row>40</xdr:row>
      <xdr:rowOff>7620</xdr:rowOff>
    </xdr:to>
    <xdr:sp macro="" textlink="">
      <xdr:nvSpPr>
        <xdr:cNvPr id="71" name="Rectangle 70">
          <a:extLst>
            <a:ext uri="{FF2B5EF4-FFF2-40B4-BE49-F238E27FC236}">
              <a16:creationId xmlns:a16="http://schemas.microsoft.com/office/drawing/2014/main" id="{0D1FB839-0D61-4245-BF70-A358891D9E5B}"/>
            </a:ext>
          </a:extLst>
        </xdr:cNvPr>
        <xdr:cNvSpPr/>
      </xdr:nvSpPr>
      <xdr:spPr>
        <a:xfrm>
          <a:off x="21617940" y="7048500"/>
          <a:ext cx="83820" cy="27432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35</xdr:col>
      <xdr:colOff>198120</xdr:colOff>
      <xdr:row>39</xdr:row>
      <xdr:rowOff>38100</xdr:rowOff>
    </xdr:from>
    <xdr:to>
      <xdr:col>35</xdr:col>
      <xdr:colOff>274320</xdr:colOff>
      <xdr:row>40</xdr:row>
      <xdr:rowOff>15240</xdr:rowOff>
    </xdr:to>
    <xdr:sp macro="" textlink="">
      <xdr:nvSpPr>
        <xdr:cNvPr id="72" name="Rectangle 71">
          <a:extLst>
            <a:ext uri="{FF2B5EF4-FFF2-40B4-BE49-F238E27FC236}">
              <a16:creationId xmlns:a16="http://schemas.microsoft.com/office/drawing/2014/main" id="{E9B02E69-A23C-4910-AA58-0764BAA41C88}"/>
            </a:ext>
          </a:extLst>
        </xdr:cNvPr>
        <xdr:cNvSpPr/>
      </xdr:nvSpPr>
      <xdr:spPr>
        <a:xfrm>
          <a:off x="21534120" y="7170420"/>
          <a:ext cx="76200" cy="16002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35</xdr:col>
      <xdr:colOff>106680</xdr:colOff>
      <xdr:row>39</xdr:row>
      <xdr:rowOff>121920</xdr:rowOff>
    </xdr:from>
    <xdr:to>
      <xdr:col>35</xdr:col>
      <xdr:colOff>182880</xdr:colOff>
      <xdr:row>40</xdr:row>
      <xdr:rowOff>15240</xdr:rowOff>
    </xdr:to>
    <xdr:sp macro="" textlink="">
      <xdr:nvSpPr>
        <xdr:cNvPr id="73" name="Rectangle 72">
          <a:extLst>
            <a:ext uri="{FF2B5EF4-FFF2-40B4-BE49-F238E27FC236}">
              <a16:creationId xmlns:a16="http://schemas.microsoft.com/office/drawing/2014/main" id="{23EADF6E-3BFD-4A55-AA65-0582A8F4909C}"/>
            </a:ext>
          </a:extLst>
        </xdr:cNvPr>
        <xdr:cNvSpPr/>
      </xdr:nvSpPr>
      <xdr:spPr>
        <a:xfrm>
          <a:off x="21442680" y="7254240"/>
          <a:ext cx="76200" cy="762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35</xdr:col>
      <xdr:colOff>7620</xdr:colOff>
      <xdr:row>46</xdr:row>
      <xdr:rowOff>0</xdr:rowOff>
    </xdr:from>
    <xdr:to>
      <xdr:col>38</xdr:col>
      <xdr:colOff>502920</xdr:colOff>
      <xdr:row>56</xdr:row>
      <xdr:rowOff>0</xdr:rowOff>
    </xdr:to>
    <xdr:sp macro="" textlink="">
      <xdr:nvSpPr>
        <xdr:cNvPr id="74" name="Freeform: Shape 73">
          <a:extLst>
            <a:ext uri="{FF2B5EF4-FFF2-40B4-BE49-F238E27FC236}">
              <a16:creationId xmlns:a16="http://schemas.microsoft.com/office/drawing/2014/main" id="{1D0BA2F0-DE38-4E9B-9297-EC225E811EAB}"/>
            </a:ext>
          </a:extLst>
        </xdr:cNvPr>
        <xdr:cNvSpPr/>
      </xdr:nvSpPr>
      <xdr:spPr>
        <a:xfrm>
          <a:off x="21343620" y="8412480"/>
          <a:ext cx="2324100" cy="1828800"/>
        </a:xfrm>
        <a:custGeom>
          <a:avLst/>
          <a:gdLst>
            <a:gd name="connsiteX0" fmla="*/ 0 w 2324100"/>
            <a:gd name="connsiteY0" fmla="*/ 1828800 h 1828800"/>
            <a:gd name="connsiteX1" fmla="*/ 175260 w 2324100"/>
            <a:gd name="connsiteY1" fmla="*/ 1684020 h 1828800"/>
            <a:gd name="connsiteX2" fmla="*/ 289560 w 2324100"/>
            <a:gd name="connsiteY2" fmla="*/ 1554480 h 1828800"/>
            <a:gd name="connsiteX3" fmla="*/ 449580 w 2324100"/>
            <a:gd name="connsiteY3" fmla="*/ 1325880 h 1828800"/>
            <a:gd name="connsiteX4" fmla="*/ 601980 w 2324100"/>
            <a:gd name="connsiteY4" fmla="*/ 975360 h 1828800"/>
            <a:gd name="connsiteX5" fmla="*/ 754380 w 2324100"/>
            <a:gd name="connsiteY5" fmla="*/ 586740 h 1828800"/>
            <a:gd name="connsiteX6" fmla="*/ 891540 w 2324100"/>
            <a:gd name="connsiteY6" fmla="*/ 342900 h 1828800"/>
            <a:gd name="connsiteX7" fmla="*/ 1043940 w 2324100"/>
            <a:gd name="connsiteY7" fmla="*/ 175260 h 1828800"/>
            <a:gd name="connsiteX8" fmla="*/ 1173480 w 2324100"/>
            <a:gd name="connsiteY8" fmla="*/ 60960 h 1828800"/>
            <a:gd name="connsiteX9" fmla="*/ 1333500 w 2324100"/>
            <a:gd name="connsiteY9" fmla="*/ 7620 h 1828800"/>
            <a:gd name="connsiteX10" fmla="*/ 1493520 w 2324100"/>
            <a:gd name="connsiteY10" fmla="*/ 0 h 1828800"/>
            <a:gd name="connsiteX11" fmla="*/ 1630680 w 2324100"/>
            <a:gd name="connsiteY11" fmla="*/ 83820 h 1828800"/>
            <a:gd name="connsiteX12" fmla="*/ 1760220 w 2324100"/>
            <a:gd name="connsiteY12" fmla="*/ 251460 h 1828800"/>
            <a:gd name="connsiteX13" fmla="*/ 1897380 w 2324100"/>
            <a:gd name="connsiteY13" fmla="*/ 426720 h 1828800"/>
            <a:gd name="connsiteX14" fmla="*/ 2019300 w 2324100"/>
            <a:gd name="connsiteY14" fmla="*/ 685800 h 1828800"/>
            <a:gd name="connsiteX15" fmla="*/ 2186940 w 2324100"/>
            <a:gd name="connsiteY15" fmla="*/ 975360 h 1828800"/>
            <a:gd name="connsiteX16" fmla="*/ 2316480 w 2324100"/>
            <a:gd name="connsiteY16" fmla="*/ 1165860 h 1828800"/>
            <a:gd name="connsiteX17" fmla="*/ 2324100 w 2324100"/>
            <a:gd name="connsiteY17" fmla="*/ 1821180 h 1828800"/>
            <a:gd name="connsiteX18" fmla="*/ 0 w 2324100"/>
            <a:gd name="connsiteY18" fmla="*/ 1828800 h 18288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</a:cxnLst>
          <a:rect l="l" t="t" r="r" b="b"/>
          <a:pathLst>
            <a:path w="2324100" h="1828800">
              <a:moveTo>
                <a:pt x="0" y="1828800"/>
              </a:moveTo>
              <a:lnTo>
                <a:pt x="175260" y="1684020"/>
              </a:lnTo>
              <a:lnTo>
                <a:pt x="289560" y="1554480"/>
              </a:lnTo>
              <a:lnTo>
                <a:pt x="449580" y="1325880"/>
              </a:lnTo>
              <a:lnTo>
                <a:pt x="601980" y="975360"/>
              </a:lnTo>
              <a:lnTo>
                <a:pt x="754380" y="586740"/>
              </a:lnTo>
              <a:lnTo>
                <a:pt x="891540" y="342900"/>
              </a:lnTo>
              <a:lnTo>
                <a:pt x="1043940" y="175260"/>
              </a:lnTo>
              <a:lnTo>
                <a:pt x="1173480" y="60960"/>
              </a:lnTo>
              <a:lnTo>
                <a:pt x="1333500" y="7620"/>
              </a:lnTo>
              <a:lnTo>
                <a:pt x="1493520" y="0"/>
              </a:lnTo>
              <a:lnTo>
                <a:pt x="1630680" y="83820"/>
              </a:lnTo>
              <a:lnTo>
                <a:pt x="1760220" y="251460"/>
              </a:lnTo>
              <a:lnTo>
                <a:pt x="1897380" y="426720"/>
              </a:lnTo>
              <a:lnTo>
                <a:pt x="2019300" y="685800"/>
              </a:lnTo>
              <a:lnTo>
                <a:pt x="2186940" y="975360"/>
              </a:lnTo>
              <a:lnTo>
                <a:pt x="2316480" y="1165860"/>
              </a:lnTo>
              <a:lnTo>
                <a:pt x="2324100" y="1821180"/>
              </a:lnTo>
              <a:lnTo>
                <a:pt x="0" y="1828800"/>
              </a:lnTo>
              <a:close/>
            </a:path>
          </a:pathLst>
        </a:cu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37</xdr:col>
      <xdr:colOff>533400</xdr:colOff>
      <xdr:row>26</xdr:row>
      <xdr:rowOff>7620</xdr:rowOff>
    </xdr:from>
    <xdr:to>
      <xdr:col>37</xdr:col>
      <xdr:colOff>533400</xdr:colOff>
      <xdr:row>28</xdr:row>
      <xdr:rowOff>22860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B8142112-2889-4326-AF2E-76CCC62ADC4A}"/>
            </a:ext>
          </a:extLst>
        </xdr:cNvPr>
        <xdr:cNvCxnSpPr/>
      </xdr:nvCxnSpPr>
      <xdr:spPr>
        <a:xfrm>
          <a:off x="23088600" y="4762500"/>
          <a:ext cx="0" cy="3810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175260</xdr:colOff>
      <xdr:row>26</xdr:row>
      <xdr:rowOff>7620</xdr:rowOff>
    </xdr:from>
    <xdr:to>
      <xdr:col>38</xdr:col>
      <xdr:colOff>175260</xdr:colOff>
      <xdr:row>28</xdr:row>
      <xdr:rowOff>22860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F3A1BB0D-FED1-4549-A6E5-7A8FD61750B0}"/>
            </a:ext>
          </a:extLst>
        </xdr:cNvPr>
        <xdr:cNvCxnSpPr/>
      </xdr:nvCxnSpPr>
      <xdr:spPr>
        <a:xfrm>
          <a:off x="23340060" y="4762500"/>
          <a:ext cx="0" cy="3810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121920</xdr:colOff>
      <xdr:row>40</xdr:row>
      <xdr:rowOff>0</xdr:rowOff>
    </xdr:from>
    <xdr:to>
      <xdr:col>38</xdr:col>
      <xdr:colOff>121920</xdr:colOff>
      <xdr:row>42</xdr:row>
      <xdr:rowOff>15240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59BAAC19-F8BD-4A3D-BAF3-226E992F58A6}"/>
            </a:ext>
          </a:extLst>
        </xdr:cNvPr>
        <xdr:cNvCxnSpPr/>
      </xdr:nvCxnSpPr>
      <xdr:spPr>
        <a:xfrm>
          <a:off x="23286720" y="7315200"/>
          <a:ext cx="0" cy="3810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182880</xdr:colOff>
      <xdr:row>39</xdr:row>
      <xdr:rowOff>175260</xdr:rowOff>
    </xdr:from>
    <xdr:to>
      <xdr:col>38</xdr:col>
      <xdr:colOff>182880</xdr:colOff>
      <xdr:row>42</xdr:row>
      <xdr:rowOff>7620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654B1FDE-9624-4558-B83D-2433327A7046}"/>
            </a:ext>
          </a:extLst>
        </xdr:cNvPr>
        <xdr:cNvCxnSpPr/>
      </xdr:nvCxnSpPr>
      <xdr:spPr>
        <a:xfrm>
          <a:off x="23347680" y="7307580"/>
          <a:ext cx="0" cy="3810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518160</xdr:colOff>
      <xdr:row>55</xdr:row>
      <xdr:rowOff>167640</xdr:rowOff>
    </xdr:from>
    <xdr:to>
      <xdr:col>37</xdr:col>
      <xdr:colOff>518160</xdr:colOff>
      <xdr:row>58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EF333FE3-748E-438E-823A-D268967B2E03}"/>
            </a:ext>
          </a:extLst>
        </xdr:cNvPr>
        <xdr:cNvCxnSpPr/>
      </xdr:nvCxnSpPr>
      <xdr:spPr>
        <a:xfrm>
          <a:off x="23073360" y="10226040"/>
          <a:ext cx="0" cy="3810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533400</xdr:colOff>
      <xdr:row>55</xdr:row>
      <xdr:rowOff>152400</xdr:rowOff>
    </xdr:from>
    <xdr:to>
      <xdr:col>37</xdr:col>
      <xdr:colOff>533400</xdr:colOff>
      <xdr:row>57</xdr:row>
      <xdr:rowOff>167640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D194D2CB-06D8-40D4-878A-FE9852065A79}"/>
            </a:ext>
          </a:extLst>
        </xdr:cNvPr>
        <xdr:cNvCxnSpPr/>
      </xdr:nvCxnSpPr>
      <xdr:spPr>
        <a:xfrm>
          <a:off x="23088600" y="10210800"/>
          <a:ext cx="0" cy="3810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487680</xdr:colOff>
      <xdr:row>26</xdr:row>
      <xdr:rowOff>175260</xdr:rowOff>
    </xdr:from>
    <xdr:to>
      <xdr:col>38</xdr:col>
      <xdr:colOff>220980</xdr:colOff>
      <xdr:row>28</xdr:row>
      <xdr:rowOff>167640</xdr:rowOff>
    </xdr:to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BBB3750D-2650-433C-8E40-68CE2C557A71}"/>
            </a:ext>
          </a:extLst>
        </xdr:cNvPr>
        <xdr:cNvSpPr txBox="1"/>
      </xdr:nvSpPr>
      <xdr:spPr>
        <a:xfrm>
          <a:off x="23042880" y="4930140"/>
          <a:ext cx="342900" cy="3581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ym typeface="Symbol" panose="05050102010706020507" pitchFamily="18" charset="2"/>
            </a:rPr>
            <a:t>x</a:t>
          </a:r>
          <a:endParaRPr lang="en-GB" sz="1100"/>
        </a:p>
      </xdr:txBody>
    </xdr:sp>
    <xdr:clientData/>
  </xdr:twoCellAnchor>
  <xdr:twoCellAnchor>
    <xdr:from>
      <xdr:col>38</xdr:col>
      <xdr:colOff>0</xdr:colOff>
      <xdr:row>41</xdr:row>
      <xdr:rowOff>106680</xdr:rowOff>
    </xdr:from>
    <xdr:to>
      <xdr:col>38</xdr:col>
      <xdr:colOff>342900</xdr:colOff>
      <xdr:row>43</xdr:row>
      <xdr:rowOff>99060</xdr:rowOff>
    </xdr:to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A41D0E9B-6A93-4A92-ADDF-A75E93E7A7BF}"/>
            </a:ext>
          </a:extLst>
        </xdr:cNvPr>
        <xdr:cNvSpPr txBox="1"/>
      </xdr:nvSpPr>
      <xdr:spPr>
        <a:xfrm>
          <a:off x="23164800" y="7604760"/>
          <a:ext cx="342900" cy="3581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ym typeface="Symbol" panose="05050102010706020507" pitchFamily="18" charset="2"/>
            </a:rPr>
            <a:t>x</a:t>
          </a:r>
          <a:endParaRPr lang="en-GB" sz="1100"/>
        </a:p>
      </xdr:txBody>
    </xdr:sp>
    <xdr:clientData/>
  </xdr:twoCellAnchor>
  <xdr:twoCellAnchor>
    <xdr:from>
      <xdr:col>37</xdr:col>
      <xdr:colOff>373380</xdr:colOff>
      <xdr:row>57</xdr:row>
      <xdr:rowOff>99060</xdr:rowOff>
    </xdr:from>
    <xdr:to>
      <xdr:col>38</xdr:col>
      <xdr:colOff>106680</xdr:colOff>
      <xdr:row>59</xdr:row>
      <xdr:rowOff>91440</xdr:rowOff>
    </xdr:to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CC4348D0-70AA-43D0-9E14-7313C6431CEA}"/>
            </a:ext>
          </a:extLst>
        </xdr:cNvPr>
        <xdr:cNvSpPr txBox="1"/>
      </xdr:nvSpPr>
      <xdr:spPr>
        <a:xfrm>
          <a:off x="22928580" y="10523220"/>
          <a:ext cx="342900" cy="3581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ym typeface="Symbol" panose="05050102010706020507" pitchFamily="18" charset="2"/>
            </a:rPr>
            <a:t>x</a:t>
          </a:r>
          <a:endParaRPr lang="en-GB" sz="1100"/>
        </a:p>
      </xdr:txBody>
    </xdr:sp>
    <xdr:clientData/>
  </xdr:twoCellAnchor>
  <xdr:twoCellAnchor>
    <xdr:from>
      <xdr:col>38</xdr:col>
      <xdr:colOff>182880</xdr:colOff>
      <xdr:row>27</xdr:row>
      <xdr:rowOff>137160</xdr:rowOff>
    </xdr:from>
    <xdr:to>
      <xdr:col>38</xdr:col>
      <xdr:colOff>571500</xdr:colOff>
      <xdr:row>27</xdr:row>
      <xdr:rowOff>137160</xdr:rowOff>
    </xdr:to>
    <xdr:cxnSp macro="">
      <xdr:nvCxnSpPr>
        <xdr:cNvPr id="84" name="Straight Arrow Connector 83">
          <a:extLst>
            <a:ext uri="{FF2B5EF4-FFF2-40B4-BE49-F238E27FC236}">
              <a16:creationId xmlns:a16="http://schemas.microsoft.com/office/drawing/2014/main" id="{C5C13968-4649-4F6A-AEDF-2ED4ACEDB4A9}"/>
            </a:ext>
          </a:extLst>
        </xdr:cNvPr>
        <xdr:cNvCxnSpPr/>
      </xdr:nvCxnSpPr>
      <xdr:spPr>
        <a:xfrm flipH="1">
          <a:off x="23347680" y="5074920"/>
          <a:ext cx="38862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76200</xdr:colOff>
      <xdr:row>27</xdr:row>
      <xdr:rowOff>144780</xdr:rowOff>
    </xdr:from>
    <xdr:to>
      <xdr:col>37</xdr:col>
      <xdr:colOff>518160</xdr:colOff>
      <xdr:row>27</xdr:row>
      <xdr:rowOff>144780</xdr:rowOff>
    </xdr:to>
    <xdr:cxnSp macro="">
      <xdr:nvCxnSpPr>
        <xdr:cNvPr id="85" name="Straight Arrow Connector 84">
          <a:extLst>
            <a:ext uri="{FF2B5EF4-FFF2-40B4-BE49-F238E27FC236}">
              <a16:creationId xmlns:a16="http://schemas.microsoft.com/office/drawing/2014/main" id="{30CD60B4-ECC4-4242-A54A-02CC4C47CDB0}"/>
            </a:ext>
          </a:extLst>
        </xdr:cNvPr>
        <xdr:cNvCxnSpPr/>
      </xdr:nvCxnSpPr>
      <xdr:spPr>
        <a:xfrm>
          <a:off x="22631400" y="5082540"/>
          <a:ext cx="44196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190500</xdr:colOff>
      <xdr:row>41</xdr:row>
      <xdr:rowOff>152400</xdr:rowOff>
    </xdr:from>
    <xdr:to>
      <xdr:col>38</xdr:col>
      <xdr:colOff>579120</xdr:colOff>
      <xdr:row>41</xdr:row>
      <xdr:rowOff>152400</xdr:rowOff>
    </xdr:to>
    <xdr:cxnSp macro="">
      <xdr:nvCxnSpPr>
        <xdr:cNvPr id="86" name="Straight Arrow Connector 85">
          <a:extLst>
            <a:ext uri="{FF2B5EF4-FFF2-40B4-BE49-F238E27FC236}">
              <a16:creationId xmlns:a16="http://schemas.microsoft.com/office/drawing/2014/main" id="{688D2C60-0346-4BCF-B481-537EC8303BEB}"/>
            </a:ext>
          </a:extLst>
        </xdr:cNvPr>
        <xdr:cNvCxnSpPr/>
      </xdr:nvCxnSpPr>
      <xdr:spPr>
        <a:xfrm flipH="1">
          <a:off x="23355300" y="7650480"/>
          <a:ext cx="38862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281940</xdr:colOff>
      <xdr:row>41</xdr:row>
      <xdr:rowOff>152400</xdr:rowOff>
    </xdr:from>
    <xdr:to>
      <xdr:col>38</xdr:col>
      <xdr:colOff>114300</xdr:colOff>
      <xdr:row>41</xdr:row>
      <xdr:rowOff>152400</xdr:rowOff>
    </xdr:to>
    <xdr:cxnSp macro="">
      <xdr:nvCxnSpPr>
        <xdr:cNvPr id="87" name="Straight Arrow Connector 86">
          <a:extLst>
            <a:ext uri="{FF2B5EF4-FFF2-40B4-BE49-F238E27FC236}">
              <a16:creationId xmlns:a16="http://schemas.microsoft.com/office/drawing/2014/main" id="{22624F8E-B788-4E65-AB3B-ED536842961C}"/>
            </a:ext>
          </a:extLst>
        </xdr:cNvPr>
        <xdr:cNvCxnSpPr/>
      </xdr:nvCxnSpPr>
      <xdr:spPr>
        <a:xfrm>
          <a:off x="22837140" y="7650480"/>
          <a:ext cx="44196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541020</xdr:colOff>
      <xdr:row>57</xdr:row>
      <xdr:rowOff>106680</xdr:rowOff>
    </xdr:from>
    <xdr:to>
      <xdr:col>38</xdr:col>
      <xdr:colOff>320040</xdr:colOff>
      <xdr:row>57</xdr:row>
      <xdr:rowOff>106680</xdr:rowOff>
    </xdr:to>
    <xdr:cxnSp macro="">
      <xdr:nvCxnSpPr>
        <xdr:cNvPr id="88" name="Straight Arrow Connector 87">
          <a:extLst>
            <a:ext uri="{FF2B5EF4-FFF2-40B4-BE49-F238E27FC236}">
              <a16:creationId xmlns:a16="http://schemas.microsoft.com/office/drawing/2014/main" id="{1EE7A5C4-19E1-4602-B6D0-9DC029BE883F}"/>
            </a:ext>
          </a:extLst>
        </xdr:cNvPr>
        <xdr:cNvCxnSpPr/>
      </xdr:nvCxnSpPr>
      <xdr:spPr>
        <a:xfrm flipH="1">
          <a:off x="23096220" y="10530840"/>
          <a:ext cx="38862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68580</xdr:colOff>
      <xdr:row>57</xdr:row>
      <xdr:rowOff>106680</xdr:rowOff>
    </xdr:from>
    <xdr:to>
      <xdr:col>37</xdr:col>
      <xdr:colOff>510540</xdr:colOff>
      <xdr:row>57</xdr:row>
      <xdr:rowOff>106680</xdr:rowOff>
    </xdr:to>
    <xdr:cxnSp macro="">
      <xdr:nvCxnSpPr>
        <xdr:cNvPr id="89" name="Straight Arrow Connector 88">
          <a:extLst>
            <a:ext uri="{FF2B5EF4-FFF2-40B4-BE49-F238E27FC236}">
              <a16:creationId xmlns:a16="http://schemas.microsoft.com/office/drawing/2014/main" id="{EFACA0A2-70E2-4732-9C12-D000C0772486}"/>
            </a:ext>
          </a:extLst>
        </xdr:cNvPr>
        <xdr:cNvCxnSpPr/>
      </xdr:nvCxnSpPr>
      <xdr:spPr>
        <a:xfrm>
          <a:off x="22623780" y="10530840"/>
          <a:ext cx="44196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28575</xdr:colOff>
      <xdr:row>4</xdr:row>
      <xdr:rowOff>180975</xdr:rowOff>
    </xdr:from>
    <xdr:to>
      <xdr:col>25</xdr:col>
      <xdr:colOff>333375</xdr:colOff>
      <xdr:row>19</xdr:row>
      <xdr:rowOff>66675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751133B-F781-48B6-AE20-A432565CBB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38100</xdr:colOff>
      <xdr:row>20</xdr:row>
      <xdr:rowOff>0</xdr:rowOff>
    </xdr:from>
    <xdr:to>
      <xdr:col>25</xdr:col>
      <xdr:colOff>342900</xdr:colOff>
      <xdr:row>34</xdr:row>
      <xdr:rowOff>76200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23EE5D2-6B79-4A19-803B-8F0A77C291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160020</xdr:colOff>
      <xdr:row>3</xdr:row>
      <xdr:rowOff>0</xdr:rowOff>
    </xdr:from>
    <xdr:to>
      <xdr:col>15</xdr:col>
      <xdr:colOff>464820</xdr:colOff>
      <xdr:row>19</xdr:row>
      <xdr:rowOff>60960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39E9CD5-D14F-438A-A382-97F2FF9A55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190500</xdr:colOff>
      <xdr:row>19</xdr:row>
      <xdr:rowOff>152400</xdr:rowOff>
    </xdr:from>
    <xdr:to>
      <xdr:col>15</xdr:col>
      <xdr:colOff>495300</xdr:colOff>
      <xdr:row>36</xdr:row>
      <xdr:rowOff>45720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C2128C5-B1D9-4760-B02A-E75E7DE7D1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0</xdr:colOff>
      <xdr:row>3</xdr:row>
      <xdr:rowOff>0</xdr:rowOff>
    </xdr:from>
    <xdr:to>
      <xdr:col>24</xdr:col>
      <xdr:colOff>304800</xdr:colOff>
      <xdr:row>19</xdr:row>
      <xdr:rowOff>60960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2A1FE01-42D5-4317-BEFA-20E988A89B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880F23-6780-43D7-ABF6-1DEF1F83614F}">
  <dimension ref="A1:L43"/>
  <sheetViews>
    <sheetView tabSelected="1" zoomScaleNormal="100" workbookViewId="0">
      <selection activeCell="A24" sqref="A24"/>
    </sheetView>
  </sheetViews>
  <sheetFormatPr defaultRowHeight="15"/>
  <cols>
    <col min="10" max="10" width="19.5703125" customWidth="1"/>
    <col min="11" max="11" width="9.140625" customWidth="1"/>
  </cols>
  <sheetData>
    <row r="1" spans="1:12">
      <c r="A1" s="1" t="s">
        <v>20</v>
      </c>
      <c r="I1" s="1" t="s">
        <v>28</v>
      </c>
    </row>
    <row r="2" spans="1:12">
      <c r="A2">
        <v>1</v>
      </c>
      <c r="D2">
        <f>A2^2</f>
        <v>1</v>
      </c>
      <c r="E2" t="str">
        <f ca="1">_xlfn.FORMULATEXT(D2)</f>
        <v>=A2^2</v>
      </c>
      <c r="I2" s="1" t="s">
        <v>0</v>
      </c>
    </row>
    <row r="3" spans="1:12">
      <c r="A3">
        <v>4</v>
      </c>
      <c r="D3">
        <f t="shared" ref="D3:D5" si="0">A3^2</f>
        <v>16</v>
      </c>
      <c r="E3" t="str">
        <f t="shared" ref="E3:E7" ca="1" si="1">_xlfn.FORMULATEXT(D3)</f>
        <v>=A3^2</v>
      </c>
      <c r="I3">
        <v>1</v>
      </c>
      <c r="J3">
        <f>AVERAGE($I$3:$I$6)</f>
        <v>5</v>
      </c>
      <c r="K3">
        <f>(I3-J3)</f>
        <v>-4</v>
      </c>
      <c r="L3" t="str">
        <f ca="1">_xlfn.FORMULATEXT(K3)</f>
        <v>=(I3-J3)</v>
      </c>
    </row>
    <row r="4" spans="1:12">
      <c r="A4">
        <v>8</v>
      </c>
      <c r="D4">
        <f t="shared" si="0"/>
        <v>64</v>
      </c>
      <c r="E4" t="str">
        <f t="shared" ca="1" si="1"/>
        <v>=A4^2</v>
      </c>
      <c r="I4">
        <v>4</v>
      </c>
      <c r="J4">
        <f t="shared" ref="J4:J6" si="2">AVERAGE($I$3:$I$6)</f>
        <v>5</v>
      </c>
      <c r="K4">
        <f t="shared" ref="K4:K6" si="3">(I4-J4)</f>
        <v>-1</v>
      </c>
    </row>
    <row r="5" spans="1:12">
      <c r="A5">
        <v>7</v>
      </c>
      <c r="D5">
        <f t="shared" si="0"/>
        <v>49</v>
      </c>
      <c r="E5" t="str">
        <f t="shared" ca="1" si="1"/>
        <v>=A5^2</v>
      </c>
      <c r="I5">
        <v>8</v>
      </c>
      <c r="J5">
        <f t="shared" si="2"/>
        <v>5</v>
      </c>
      <c r="K5">
        <f t="shared" si="3"/>
        <v>3</v>
      </c>
    </row>
    <row r="6" spans="1:12">
      <c r="A6">
        <f>SUM(A2:A5)</f>
        <v>20</v>
      </c>
      <c r="B6" t="str">
        <f ca="1">_xlfn.FORMULATEXT(A6)</f>
        <v>=SUM(A2:A5)</v>
      </c>
      <c r="D6">
        <f>SUM(D2:D5)</f>
        <v>130</v>
      </c>
      <c r="E6" t="str">
        <f t="shared" ca="1" si="1"/>
        <v>=SUM(D2:D5)</v>
      </c>
      <c r="I6">
        <v>7</v>
      </c>
      <c r="J6">
        <f t="shared" si="2"/>
        <v>5</v>
      </c>
      <c r="K6">
        <f t="shared" si="3"/>
        <v>2</v>
      </c>
    </row>
    <row r="7" spans="1:12">
      <c r="D7">
        <f>SUMSQ(A2:A5)</f>
        <v>130</v>
      </c>
      <c r="E7" t="str">
        <f t="shared" ca="1" si="1"/>
        <v>=SUMSQ(A2:A5)</v>
      </c>
      <c r="J7" t="str">
        <f ca="1">_xlfn.FORMULATEXT(J6)</f>
        <v>=AVERAGE($I$3:$I$6)</v>
      </c>
      <c r="K7">
        <f>SUM(K3:K6)</f>
        <v>0</v>
      </c>
    </row>
    <row r="8" spans="1:12">
      <c r="A8" s="1" t="s">
        <v>27</v>
      </c>
      <c r="I8" s="1"/>
      <c r="K8" t="str">
        <f ca="1">_xlfn.FORMULATEXT(K7)</f>
        <v>=SUM(K3:K6)</v>
      </c>
    </row>
    <row r="9" spans="1:12">
      <c r="A9" s="1" t="s">
        <v>0</v>
      </c>
      <c r="B9" s="1" t="s">
        <v>1</v>
      </c>
    </row>
    <row r="10" spans="1:12">
      <c r="A10">
        <v>1</v>
      </c>
      <c r="B10">
        <v>2</v>
      </c>
      <c r="C10">
        <f>A10*B10</f>
        <v>2</v>
      </c>
      <c r="D10" t="str">
        <f t="shared" ref="D10:D15" ca="1" si="4">_xlfn.FORMULATEXT(C10)</f>
        <v>=A10*B10</v>
      </c>
      <c r="I10" s="1" t="s">
        <v>25</v>
      </c>
      <c r="J10" s="1" t="s">
        <v>17</v>
      </c>
    </row>
    <row r="11" spans="1:12">
      <c r="A11">
        <v>4</v>
      </c>
      <c r="B11">
        <v>4</v>
      </c>
      <c r="C11">
        <f t="shared" ref="C11:C13" si="5">A11*B11</f>
        <v>16</v>
      </c>
      <c r="D11" t="str">
        <f t="shared" ca="1" si="4"/>
        <v>=A11*B11</v>
      </c>
      <c r="I11">
        <v>2</v>
      </c>
      <c r="J11">
        <f>(1+(1/I11))^I11</f>
        <v>2.25</v>
      </c>
      <c r="K11" t="str">
        <f t="shared" ref="K11:K17" ca="1" si="6">_xlfn.FORMULATEXT(J11)</f>
        <v>=(1+(1/I11))^I11</v>
      </c>
    </row>
    <row r="12" spans="1:12">
      <c r="A12">
        <v>8</v>
      </c>
      <c r="B12">
        <v>7</v>
      </c>
      <c r="C12">
        <f t="shared" si="5"/>
        <v>56</v>
      </c>
      <c r="D12" t="str">
        <f t="shared" ca="1" si="4"/>
        <v>=A12*B12</v>
      </c>
      <c r="I12">
        <v>12</v>
      </c>
      <c r="J12">
        <f t="shared" ref="J12:J16" si="7">(1+(1/I12))^I12</f>
        <v>2.6130352902246763</v>
      </c>
      <c r="K12" t="str">
        <f t="shared" ca="1" si="6"/>
        <v>=(1+(1/I12))^I12</v>
      </c>
    </row>
    <row r="13" spans="1:12">
      <c r="A13">
        <v>7</v>
      </c>
      <c r="B13">
        <v>3</v>
      </c>
      <c r="C13">
        <f t="shared" si="5"/>
        <v>21</v>
      </c>
      <c r="D13" t="str">
        <f t="shared" ca="1" si="4"/>
        <v>=A13*B13</v>
      </c>
      <c r="I13">
        <v>52</v>
      </c>
      <c r="J13">
        <f t="shared" si="7"/>
        <v>2.6925969544371693</v>
      </c>
      <c r="K13" t="str">
        <f t="shared" ca="1" si="6"/>
        <v>=(1+(1/I13))^I13</v>
      </c>
    </row>
    <row r="14" spans="1:12">
      <c r="C14">
        <f>SUM(C10:C13)</f>
        <v>95</v>
      </c>
      <c r="D14" t="str">
        <f t="shared" ca="1" si="4"/>
        <v>=SUM(C10:C13)</v>
      </c>
      <c r="I14">
        <v>365</v>
      </c>
      <c r="J14">
        <f t="shared" si="7"/>
        <v>2.7145674820220145</v>
      </c>
      <c r="K14" t="str">
        <f t="shared" ca="1" si="6"/>
        <v>=(1+(1/I14))^I14</v>
      </c>
    </row>
    <row r="15" spans="1:12">
      <c r="C15">
        <f>SUMPRODUCT(A10:A13,B10:B13)</f>
        <v>95</v>
      </c>
      <c r="D15" t="str">
        <f t="shared" ca="1" si="4"/>
        <v>=SUMPRODUCT(A10:A13,B10:B13)</v>
      </c>
      <c r="I15">
        <f>365*24</f>
        <v>8760</v>
      </c>
      <c r="J15">
        <f t="shared" si="7"/>
        <v>2.71812669161742</v>
      </c>
      <c r="K15" t="str">
        <f t="shared" ca="1" si="6"/>
        <v>=(1+(1/I15))^I15</v>
      </c>
    </row>
    <row r="16" spans="1:12">
      <c r="I16">
        <v>100000</v>
      </c>
      <c r="J16">
        <f t="shared" si="7"/>
        <v>2.7182682371975284</v>
      </c>
      <c r="K16" t="str">
        <f t="shared" ca="1" si="6"/>
        <v>=(1+(1/I16))^I16</v>
      </c>
    </row>
    <row r="17" spans="1:12">
      <c r="A17" s="1" t="s">
        <v>21</v>
      </c>
      <c r="I17" t="s">
        <v>18</v>
      </c>
      <c r="J17">
        <f>EXP(1)</f>
        <v>2.7182818284590451</v>
      </c>
      <c r="K17" t="str">
        <f t="shared" ca="1" si="6"/>
        <v>=EXP(1)</v>
      </c>
    </row>
    <row r="18" spans="1:12">
      <c r="A18">
        <v>1</v>
      </c>
    </row>
    <row r="19" spans="1:12">
      <c r="A19">
        <v>4</v>
      </c>
      <c r="I19" s="1" t="s">
        <v>26</v>
      </c>
    </row>
    <row r="20" spans="1:12">
      <c r="A20">
        <v>8</v>
      </c>
      <c r="I20" s="8">
        <v>2.828427</v>
      </c>
      <c r="J20">
        <v>2</v>
      </c>
      <c r="K20" s="9">
        <f>I20^J20</f>
        <v>7.9999992943290001</v>
      </c>
      <c r="L20" t="str">
        <f t="shared" ref="L20:L21" ca="1" si="8">_xlfn.FORMULATEXT(K20)</f>
        <v>=I20^J20</v>
      </c>
    </row>
    <row r="21" spans="1:12">
      <c r="A21">
        <v>7</v>
      </c>
      <c r="I21" s="1"/>
      <c r="K21">
        <f>SQRT(I22)</f>
        <v>2.8284271247461903</v>
      </c>
      <c r="L21" t="str">
        <f t="shared" ca="1" si="8"/>
        <v>=SQRT(I22)</v>
      </c>
    </row>
    <row r="22" spans="1:12">
      <c r="A22">
        <f>PRODUCT(A18:A21)</f>
        <v>224</v>
      </c>
      <c r="B22" t="str">
        <f t="shared" ref="B22" ca="1" si="9">_xlfn.FORMULATEXT(A22)</f>
        <v>=PRODUCT(A18:A21)</v>
      </c>
      <c r="I22" s="8">
        <v>8</v>
      </c>
      <c r="J22">
        <v>2</v>
      </c>
      <c r="K22">
        <f>I22^(1/J22)</f>
        <v>2.8284271247461903</v>
      </c>
      <c r="L22" t="str">
        <f ca="1">_xlfn.FORMULATEXT(K22)</f>
        <v>=I22^(1/J22)</v>
      </c>
    </row>
    <row r="23" spans="1:12">
      <c r="I23" s="8">
        <v>8</v>
      </c>
      <c r="J23">
        <v>0.5</v>
      </c>
      <c r="K23">
        <f>POWER(I23,J23)</f>
        <v>2.8284271247461903</v>
      </c>
      <c r="L23" t="str">
        <f ca="1">_xlfn.FORMULATEXT(K23)</f>
        <v>=POWER(I23,J23)</v>
      </c>
    </row>
    <row r="24" spans="1:12">
      <c r="A24" s="1" t="s">
        <v>22</v>
      </c>
      <c r="I24" s="8"/>
    </row>
    <row r="25" spans="1:12">
      <c r="A25">
        <v>5</v>
      </c>
      <c r="B25">
        <f>FACT(A25)</f>
        <v>120</v>
      </c>
      <c r="C25" t="str">
        <f t="shared" ref="C25" ca="1" si="10">_xlfn.FORMULATEXT(B25)</f>
        <v>=FACT(A25)</v>
      </c>
      <c r="I25">
        <v>8</v>
      </c>
      <c r="J25" s="6">
        <v>3</v>
      </c>
      <c r="K25" s="7">
        <f>I25^J25</f>
        <v>512</v>
      </c>
      <c r="L25" t="str">
        <f t="shared" ref="L25:L27" ca="1" si="11">_xlfn.FORMULATEXT(K25)</f>
        <v>=I25^J25</v>
      </c>
    </row>
    <row r="26" spans="1:12">
      <c r="K26" s="5">
        <f>POWER(I25,J25)</f>
        <v>512</v>
      </c>
      <c r="L26" t="str">
        <f t="shared" ca="1" si="11"/>
        <v>=POWER(I25,J25)</v>
      </c>
    </row>
    <row r="27" spans="1:12">
      <c r="A27" s="1" t="s">
        <v>23</v>
      </c>
      <c r="E27" s="1" t="s">
        <v>2</v>
      </c>
      <c r="I27">
        <v>8</v>
      </c>
      <c r="J27">
        <v>3</v>
      </c>
      <c r="K27" s="5">
        <f>I27^(1/J27)</f>
        <v>1.9999999999999998</v>
      </c>
      <c r="L27" t="str">
        <f t="shared" ca="1" si="11"/>
        <v>=I27^(1/J27)</v>
      </c>
    </row>
    <row r="28" spans="1:12">
      <c r="A28">
        <v>5</v>
      </c>
      <c r="E28" t="s">
        <v>3</v>
      </c>
      <c r="F28" t="s">
        <v>4</v>
      </c>
      <c r="G28" t="s">
        <v>5</v>
      </c>
      <c r="H28" t="s">
        <v>6</v>
      </c>
      <c r="K28" s="5"/>
    </row>
    <row r="29" spans="1:12">
      <c r="A29">
        <v>2</v>
      </c>
      <c r="E29" t="s">
        <v>7</v>
      </c>
      <c r="F29" t="s">
        <v>8</v>
      </c>
      <c r="G29" t="s">
        <v>9</v>
      </c>
      <c r="I29" s="1" t="s">
        <v>19</v>
      </c>
    </row>
    <row r="30" spans="1:12">
      <c r="B30">
        <f>COMBIN(A28,A29)</f>
        <v>10</v>
      </c>
      <c r="C30" t="str">
        <f t="shared" ref="C30" ca="1" si="12">_xlfn.FORMULATEXT(B30)</f>
        <v>=COMBIN(A28,A29)</v>
      </c>
      <c r="E30" t="s">
        <v>10</v>
      </c>
      <c r="F30" t="s">
        <v>11</v>
      </c>
      <c r="I30">
        <v>25</v>
      </c>
      <c r="J30" s="5">
        <f>LOG(I30)</f>
        <v>1.3979400086720377</v>
      </c>
      <c r="K30" t="str">
        <f t="shared" ref="K30:K32" ca="1" si="13">_xlfn.FORMULATEXT(J30)</f>
        <v>=LOG(I30)</v>
      </c>
    </row>
    <row r="31" spans="1:12">
      <c r="E31" t="s">
        <v>12</v>
      </c>
      <c r="J31" s="5">
        <f>LOG10(I30)</f>
        <v>1.3979400086720377</v>
      </c>
      <c r="K31" t="str">
        <f t="shared" ca="1" si="13"/>
        <v>=LOG10(I30)</v>
      </c>
    </row>
    <row r="32" spans="1:12">
      <c r="J32" s="5">
        <f>LOG(I30,10)</f>
        <v>1.3979400086720375</v>
      </c>
      <c r="K32" t="str">
        <f t="shared" ca="1" si="13"/>
        <v>=LOG(I30,10)</v>
      </c>
    </row>
    <row r="33" spans="1:12">
      <c r="A33" s="1" t="s">
        <v>24</v>
      </c>
      <c r="I33">
        <v>25</v>
      </c>
      <c r="J33">
        <v>3</v>
      </c>
      <c r="K33" s="5">
        <f>LOG(I33,J33)</f>
        <v>2.9299470414358537</v>
      </c>
      <c r="L33" t="str">
        <f t="shared" ref="L33" ca="1" si="14">_xlfn.FORMULATEXT(K33)</f>
        <v>=LOG(I33,J33)</v>
      </c>
    </row>
    <row r="34" spans="1:12">
      <c r="A34" t="s">
        <v>13</v>
      </c>
      <c r="C34" t="s">
        <v>14</v>
      </c>
      <c r="D34" s="2" t="s">
        <v>15</v>
      </c>
      <c r="I34">
        <v>25</v>
      </c>
      <c r="J34" s="5">
        <f>LN(I34)</f>
        <v>3.2188758248682006</v>
      </c>
      <c r="K34" t="str">
        <f t="shared" ref="K34:L39" ca="1" si="15">_xlfn.FORMULATEXT(J34)</f>
        <v>=LN(I34)</v>
      </c>
    </row>
    <row r="35" spans="1:12">
      <c r="A35">
        <v>22</v>
      </c>
      <c r="C35">
        <v>7</v>
      </c>
      <c r="D35" s="3">
        <f>A35/C35</f>
        <v>3.1428571428571428</v>
      </c>
      <c r="E35" t="str">
        <f t="shared" ref="E35:E38" ca="1" si="16">_xlfn.FORMULATEXT(D35)</f>
        <v>=A35/C35</v>
      </c>
      <c r="I35">
        <v>1</v>
      </c>
      <c r="J35" s="5">
        <f>EXP(I35)</f>
        <v>2.7182818284590451</v>
      </c>
      <c r="K35" t="str">
        <f t="shared" ca="1" si="15"/>
        <v>=EXP(I35)</v>
      </c>
    </row>
    <row r="36" spans="1:12">
      <c r="A36">
        <v>44</v>
      </c>
      <c r="C36">
        <v>14</v>
      </c>
      <c r="D36" s="3">
        <f>A36/C36</f>
        <v>3.1428571428571428</v>
      </c>
      <c r="E36" t="str">
        <f t="shared" ca="1" si="16"/>
        <v>=A36/C36</v>
      </c>
      <c r="I36">
        <v>2.7182818279999998</v>
      </c>
      <c r="J36" s="5">
        <f>LN(I36)</f>
        <v>0.99999999983112664</v>
      </c>
      <c r="K36" t="str">
        <f t="shared" ca="1" si="15"/>
        <v>=LN(I36)</v>
      </c>
    </row>
    <row r="37" spans="1:12">
      <c r="A37">
        <v>88</v>
      </c>
      <c r="C37">
        <v>28</v>
      </c>
      <c r="D37" s="3">
        <f>A37/C37</f>
        <v>3.1428571428571428</v>
      </c>
      <c r="E37" t="str">
        <f t="shared" ca="1" si="16"/>
        <v>=A37/C37</v>
      </c>
    </row>
    <row r="38" spans="1:12">
      <c r="A38">
        <v>37.700000000000003</v>
      </c>
      <c r="C38">
        <v>12</v>
      </c>
      <c r="D38" s="3">
        <f>A38/C38</f>
        <v>3.1416666666666671</v>
      </c>
      <c r="E38" t="str">
        <f t="shared" ca="1" si="16"/>
        <v>=A38/C38</v>
      </c>
      <c r="J38">
        <v>3</v>
      </c>
      <c r="K38">
        <f>EXP(J38)</f>
        <v>20.085536923187668</v>
      </c>
      <c r="L38" t="str">
        <f t="shared" ca="1" si="15"/>
        <v>=EXP(J38)</v>
      </c>
    </row>
    <row r="39" spans="1:12">
      <c r="I39">
        <v>2.7182818279999998</v>
      </c>
      <c r="J39">
        <v>3</v>
      </c>
      <c r="K39">
        <f>I39^J39</f>
        <v>20.085536913011932</v>
      </c>
      <c r="L39" t="str">
        <f t="shared" ca="1" si="15"/>
        <v>=I39^J39</v>
      </c>
    </row>
    <row r="40" spans="1:12">
      <c r="A40">
        <f>PI()</f>
        <v>3.1415926535897931</v>
      </c>
      <c r="B40" t="str">
        <f ca="1">_xlfn.FORMULATEXT(A40)</f>
        <v>=PI()</v>
      </c>
    </row>
    <row r="42" spans="1:12">
      <c r="A42" s="4" t="s">
        <v>16</v>
      </c>
    </row>
    <row r="43" spans="1:12">
      <c r="A43">
        <f>EXP(1)</f>
        <v>2.7182818284590451</v>
      </c>
      <c r="B43" t="str">
        <f ca="1">_xlfn.FORMULATEXT(A43)</f>
        <v>=EXP(1)</v>
      </c>
    </row>
  </sheetData>
  <pageMargins left="0.7" right="0.7" top="0.75" bottom="0.75" header="0.3" footer="0.3"/>
  <ignoredErrors>
    <ignoredError sqref="K33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146CD-7585-42E8-81B6-5DBD41A92924}">
  <dimension ref="A1:O32"/>
  <sheetViews>
    <sheetView workbookViewId="0">
      <selection activeCell="H1" sqref="H1"/>
    </sheetView>
  </sheetViews>
  <sheetFormatPr defaultRowHeight="15"/>
  <cols>
    <col min="3" max="3" width="9.85546875" customWidth="1"/>
    <col min="4" max="4" width="23.5703125" customWidth="1"/>
    <col min="5" max="5" width="11.140625" customWidth="1"/>
  </cols>
  <sheetData>
    <row r="1" spans="1:15">
      <c r="A1" s="1" t="s">
        <v>29</v>
      </c>
      <c r="K1" s="10" t="s">
        <v>33</v>
      </c>
    </row>
    <row r="2" spans="1:15">
      <c r="A2">
        <v>16</v>
      </c>
      <c r="B2">
        <f>SQRT(A2)</f>
        <v>4</v>
      </c>
      <c r="C2" t="str">
        <f ca="1">_xlfn.FORMULATEXT(B2)</f>
        <v>=SQRT(A2)</v>
      </c>
      <c r="K2">
        <f>EXP(1)</f>
        <v>2.7182818284590451</v>
      </c>
      <c r="L2">
        <f>PI()</f>
        <v>3.1415926535897931</v>
      </c>
      <c r="M2" t="str">
        <f>COMPLEX(0,1)</f>
        <v>i</v>
      </c>
      <c r="O2" t="str">
        <f>IMEXP(IMPRODUCT(COMPLEX(0,1),PI()))</f>
        <v>-1+3.2311393144413E-15i</v>
      </c>
    </row>
    <row r="3" spans="1:15">
      <c r="A3">
        <v>1</v>
      </c>
      <c r="B3">
        <f t="shared" ref="B3:B5" si="0">SQRT(A3)</f>
        <v>1</v>
      </c>
      <c r="C3" t="str">
        <f t="shared" ref="C3:E5" ca="1" si="1">_xlfn.FORMULATEXT(B3)</f>
        <v>=SQRT(A3)</v>
      </c>
      <c r="K3" t="str">
        <f ca="1">_xlfn.FORMULATEXT(K2)</f>
        <v>=EXP(1)</v>
      </c>
      <c r="L3" t="str">
        <f ca="1">_xlfn.FORMULATEXT(L2)</f>
        <v>=PI()</v>
      </c>
      <c r="M3" t="str">
        <f ca="1">_xlfn.FORMULATEXT(M2)</f>
        <v>=COMPLEX(0,1)</v>
      </c>
      <c r="O3" t="str">
        <f ca="1">_xlfn.FORMULATEXT(O2)</f>
        <v>=IMEXP(IMPRODUCT(COMPLEX(0,1),PI()))</v>
      </c>
    </row>
    <row r="4" spans="1:15">
      <c r="A4">
        <v>-1</v>
      </c>
      <c r="B4" t="e">
        <f t="shared" si="0"/>
        <v>#NUM!</v>
      </c>
      <c r="C4" t="str">
        <f t="shared" ca="1" si="1"/>
        <v>=SQRT(A4)</v>
      </c>
      <c r="D4" t="str">
        <f>IMSQRT(A4)</f>
        <v>6.1257422745431E-17+i</v>
      </c>
      <c r="E4" t="str">
        <f t="shared" ca="1" si="1"/>
        <v>=IMSQRT(A4)</v>
      </c>
    </row>
    <row r="5" spans="1:15">
      <c r="A5">
        <v>-9</v>
      </c>
      <c r="B5" t="e">
        <f t="shared" si="0"/>
        <v>#NUM!</v>
      </c>
      <c r="C5" t="str">
        <f t="shared" ca="1" si="1"/>
        <v>=SQRT(A5)</v>
      </c>
      <c r="D5" t="str">
        <f>IMSQRT(A5)</f>
        <v>1.83772268236293E-16+3i</v>
      </c>
      <c r="E5" t="str">
        <f t="shared" ca="1" si="1"/>
        <v>=IMSQRT(A5)</v>
      </c>
      <c r="L5">
        <f>2*L2</f>
        <v>6.2831853071795862</v>
      </c>
      <c r="O5" t="str">
        <f>IMEXP(IMPRODUCT(L5,M2))</f>
        <v>1+3.30768398781878E-15i</v>
      </c>
    </row>
    <row r="6" spans="1:15">
      <c r="L6" t="str">
        <f ca="1">_xlfn.FORMULATEXT(L5)</f>
        <v>=2*L2</v>
      </c>
      <c r="O6" t="str">
        <f ca="1">_xlfn.FORMULATEXT(O5)</f>
        <v>=IMEXP(IMPRODUCT(L5,M2))</v>
      </c>
    </row>
    <row r="8" spans="1:15">
      <c r="A8" s="1" t="s">
        <v>32</v>
      </c>
    </row>
    <row r="9" spans="1:15">
      <c r="A9" s="5">
        <v>1</v>
      </c>
      <c r="B9" s="5">
        <v>0</v>
      </c>
      <c r="C9" s="5" t="str">
        <f>COMPLEX(A9,B9)</f>
        <v>1</v>
      </c>
      <c r="D9" t="str">
        <f t="shared" ref="D9" ca="1" si="2">_xlfn.FORMULATEXT(C9)</f>
        <v>=COMPLEX(A9,B9)</v>
      </c>
      <c r="E9">
        <f>IMAGINARY(C9)</f>
        <v>0</v>
      </c>
      <c r="F9" t="str">
        <f t="shared" ref="F9" ca="1" si="3">_xlfn.FORMULATEXT(E9)</f>
        <v>=IMAGINARY(C9)</v>
      </c>
    </row>
    <row r="10" spans="1:15">
      <c r="A10">
        <v>0</v>
      </c>
      <c r="B10">
        <v>1</v>
      </c>
      <c r="C10" s="5" t="str">
        <f>COMPLEX(A10,B10)</f>
        <v>i</v>
      </c>
      <c r="D10" t="str">
        <f t="shared" ref="D10" ca="1" si="4">_xlfn.FORMULATEXT(C10)</f>
        <v>=COMPLEX(A10,B10)</v>
      </c>
      <c r="E10">
        <f t="shared" ref="E10:E11" si="5">IMAGINARY(C10)</f>
        <v>1</v>
      </c>
      <c r="F10" t="str">
        <f t="shared" ref="F10" ca="1" si="6">_xlfn.FORMULATEXT(E10)</f>
        <v>=IMAGINARY(C10)</v>
      </c>
    </row>
    <row r="11" spans="1:15">
      <c r="A11">
        <v>1</v>
      </c>
      <c r="B11">
        <v>1</v>
      </c>
      <c r="C11" s="5" t="str">
        <f>COMPLEX(A11,B11)</f>
        <v>1+i</v>
      </c>
      <c r="D11" t="str">
        <f t="shared" ref="D11:F18" ca="1" si="7">_xlfn.FORMULATEXT(C11)</f>
        <v>=COMPLEX(A11,B11)</v>
      </c>
      <c r="E11">
        <f t="shared" si="5"/>
        <v>1</v>
      </c>
      <c r="F11" t="str">
        <f t="shared" ref="F11" ca="1" si="8">_xlfn.FORMULATEXT(E11)</f>
        <v>=IMAGINARY(C11)</v>
      </c>
    </row>
    <row r="13" spans="1:15">
      <c r="A13" t="s">
        <v>30</v>
      </c>
      <c r="C13">
        <f>IMAGINARY(A13)</f>
        <v>2</v>
      </c>
      <c r="D13" t="str">
        <f t="shared" ca="1" si="7"/>
        <v>=IMAGINARY(A13)</v>
      </c>
    </row>
    <row r="14" spans="1:15">
      <c r="A14" t="s">
        <v>30</v>
      </c>
      <c r="C14">
        <f>IMREAL(A14)</f>
        <v>5</v>
      </c>
      <c r="D14" t="str">
        <f t="shared" ca="1" si="7"/>
        <v>=IMREAL(A14)</v>
      </c>
    </row>
    <row r="16" spans="1:15">
      <c r="A16">
        <v>3</v>
      </c>
      <c r="B16">
        <v>4</v>
      </c>
      <c r="C16" t="str">
        <f>COMPLEX(A16,B16)</f>
        <v>3+4i</v>
      </c>
      <c r="D16" t="str">
        <f t="shared" ca="1" si="7"/>
        <v>=COMPLEX(A16,B16)</v>
      </c>
      <c r="E16">
        <f>IMREAL(C16)</f>
        <v>3</v>
      </c>
      <c r="F16" t="str">
        <f t="shared" ca="1" si="7"/>
        <v>=IMREAL(C16)</v>
      </c>
      <c r="H16">
        <f>IMAGINARY(C16)</f>
        <v>4</v>
      </c>
      <c r="I16" t="str">
        <f t="shared" ref="I16" ca="1" si="9">_xlfn.FORMULATEXT(H16)</f>
        <v>=IMAGINARY(C16)</v>
      </c>
    </row>
    <row r="17" spans="1:9">
      <c r="A17">
        <v>-2</v>
      </c>
      <c r="B17">
        <v>-3</v>
      </c>
      <c r="C17" t="str">
        <f>COMPLEX(A17,B17)</f>
        <v>-2-3i</v>
      </c>
      <c r="D17" t="str">
        <f t="shared" ca="1" si="7"/>
        <v>=COMPLEX(A17,B17)</v>
      </c>
      <c r="E17">
        <f t="shared" ref="E17:E18" si="10">IMREAL(C17)</f>
        <v>-2</v>
      </c>
      <c r="F17" t="str">
        <f t="shared" ca="1" si="7"/>
        <v>=IMREAL(C17)</v>
      </c>
      <c r="H17">
        <f t="shared" ref="H17:H18" si="11">IMAGINARY(C17)</f>
        <v>-3</v>
      </c>
      <c r="I17" t="str">
        <f t="shared" ref="I17" ca="1" si="12">_xlfn.FORMULATEXT(H17)</f>
        <v>=IMAGINARY(C17)</v>
      </c>
    </row>
    <row r="18" spans="1:9">
      <c r="C18" s="5" t="str">
        <f>IMSUM(C16,C17)</f>
        <v>1+i</v>
      </c>
      <c r="D18" t="str">
        <f t="shared" ca="1" si="7"/>
        <v>=IMSUM(C16,C17)</v>
      </c>
      <c r="E18">
        <f t="shared" si="10"/>
        <v>1</v>
      </c>
      <c r="F18" t="str">
        <f t="shared" ca="1" si="7"/>
        <v>=IMREAL(C18)</v>
      </c>
      <c r="H18">
        <f t="shared" si="11"/>
        <v>1</v>
      </c>
      <c r="I18" t="str">
        <f t="shared" ref="I18" ca="1" si="13">_xlfn.FORMULATEXT(H18)</f>
        <v>=IMAGINARY(C18)</v>
      </c>
    </row>
    <row r="20" spans="1:9">
      <c r="A20">
        <v>3</v>
      </c>
      <c r="B20">
        <v>4</v>
      </c>
      <c r="C20" t="str">
        <f t="shared" ref="C20:C21" si="14">COMPLEX(A20,B20)</f>
        <v>3+4i</v>
      </c>
      <c r="D20" t="str">
        <f t="shared" ref="D20" ca="1" si="15">_xlfn.FORMULATEXT(C20)</f>
        <v>=COMPLEX(A20,B20)</v>
      </c>
    </row>
    <row r="21" spans="1:9">
      <c r="A21">
        <v>-4</v>
      </c>
      <c r="C21" t="str">
        <f t="shared" si="14"/>
        <v>-4</v>
      </c>
      <c r="D21" t="str">
        <f t="shared" ref="D21" ca="1" si="16">_xlfn.FORMULATEXT(C21)</f>
        <v>=COMPLEX(A21,B21)</v>
      </c>
    </row>
    <row r="22" spans="1:9">
      <c r="C22" s="5" t="str">
        <f>IMSUM(C20,C21)</f>
        <v>-1+4i</v>
      </c>
      <c r="D22" t="str">
        <f t="shared" ref="D22" ca="1" si="17">_xlfn.FORMULATEXT(C22)</f>
        <v>=IMSUM(C20,C21)</v>
      </c>
    </row>
    <row r="24" spans="1:9">
      <c r="A24">
        <v>-2</v>
      </c>
      <c r="B24">
        <v>-3</v>
      </c>
      <c r="C24" t="str">
        <f t="shared" ref="C24:C25" si="18">COMPLEX(A24,B24)</f>
        <v>-2-3i</v>
      </c>
      <c r="D24" t="str">
        <f t="shared" ref="D24" ca="1" si="19">_xlfn.FORMULATEXT(C24)</f>
        <v>=COMPLEX(A24,B24)</v>
      </c>
    </row>
    <row r="25" spans="1:9">
      <c r="A25">
        <v>0</v>
      </c>
      <c r="B25">
        <v>2</v>
      </c>
      <c r="C25" t="str">
        <f t="shared" si="18"/>
        <v>2i</v>
      </c>
      <c r="D25" t="str">
        <f t="shared" ref="D25" ca="1" si="20">_xlfn.FORMULATEXT(C25)</f>
        <v>=COMPLEX(A25,B25)</v>
      </c>
    </row>
    <row r="26" spans="1:9">
      <c r="C26" s="5" t="str">
        <f>IMPRODUCT(C24,C25)</f>
        <v>6-4i</v>
      </c>
      <c r="D26" t="str">
        <f t="shared" ref="D26:D28" ca="1" si="21">_xlfn.FORMULATEXT(C26)</f>
        <v>=IMPRODUCT(C24,C25)</v>
      </c>
    </row>
    <row r="28" spans="1:9">
      <c r="A28" t="s">
        <v>31</v>
      </c>
      <c r="B28" t="s">
        <v>31</v>
      </c>
      <c r="C28" t="str">
        <f>IMPRODUCT(A28,B28)</f>
        <v>-1</v>
      </c>
      <c r="D28" t="str">
        <f t="shared" ca="1" si="21"/>
        <v>=IMPRODUCT(A28,B28)</v>
      </c>
    </row>
    <row r="31" spans="1:9">
      <c r="A31" t="s">
        <v>797</v>
      </c>
      <c r="E31" s="5" t="str">
        <f>COMPLEX(VALUE(TEXT(IMREAL(A31),"0.000")),VALUE(TEXT(IMAGINARY(A31),"0.000")))</f>
        <v>-20-5.858i</v>
      </c>
    </row>
    <row r="32" spans="1:9">
      <c r="E32" s="5" t="str">
        <f ca="1">_xlfn.FORMULATEXT(E31)</f>
        <v>=COMPLEX(VALUE(TEXT(IMREAL(A31),"0.000")),VALUE(TEXT(IMAGINARY(A31),"0.000")))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66B8A-C389-42B4-BB63-B8C55221507A}">
  <dimension ref="A1:S51"/>
  <sheetViews>
    <sheetView workbookViewId="0">
      <selection activeCell="R40" sqref="R40"/>
    </sheetView>
  </sheetViews>
  <sheetFormatPr defaultRowHeight="15"/>
  <cols>
    <col min="2" max="2" width="15.28515625" customWidth="1"/>
    <col min="3" max="3" width="13.7109375" customWidth="1"/>
    <col min="4" max="4" width="8.85546875" customWidth="1"/>
    <col min="8" max="8" width="23.5703125" customWidth="1"/>
    <col min="9" max="9" width="12.42578125" customWidth="1"/>
    <col min="10" max="11" width="11.85546875" customWidth="1"/>
    <col min="14" max="14" width="12.7109375" bestFit="1" customWidth="1"/>
  </cols>
  <sheetData>
    <row r="1" spans="1:17">
      <c r="A1" s="1" t="s">
        <v>61</v>
      </c>
      <c r="H1" s="17" t="s">
        <v>43</v>
      </c>
      <c r="I1" s="18">
        <v>0</v>
      </c>
      <c r="J1" s="18">
        <v>30</v>
      </c>
      <c r="K1" s="18">
        <v>45</v>
      </c>
      <c r="L1" s="18">
        <v>60</v>
      </c>
      <c r="M1" s="18">
        <v>90</v>
      </c>
      <c r="N1" s="18">
        <v>135</v>
      </c>
      <c r="O1" s="18">
        <v>180</v>
      </c>
      <c r="P1" s="18">
        <v>270</v>
      </c>
      <c r="Q1" s="19">
        <v>360</v>
      </c>
    </row>
    <row r="2" spans="1:17">
      <c r="A2" s="12" t="s">
        <v>34</v>
      </c>
      <c r="B2" s="12" t="s">
        <v>36</v>
      </c>
      <c r="C2" s="47" t="s">
        <v>112</v>
      </c>
      <c r="H2" s="41" t="s">
        <v>105</v>
      </c>
      <c r="I2" s="42">
        <v>0</v>
      </c>
      <c r="J2" s="43" t="s">
        <v>106</v>
      </c>
      <c r="K2" s="43" t="s">
        <v>107</v>
      </c>
      <c r="L2" s="43" t="s">
        <v>108</v>
      </c>
      <c r="M2" s="43" t="s">
        <v>109</v>
      </c>
      <c r="N2" s="43" t="s">
        <v>110</v>
      </c>
      <c r="O2" s="44" t="s">
        <v>15</v>
      </c>
      <c r="P2" s="43" t="s">
        <v>111</v>
      </c>
      <c r="Q2" s="45" t="s">
        <v>42</v>
      </c>
    </row>
    <row r="3" spans="1:17">
      <c r="A3" s="12">
        <v>30</v>
      </c>
      <c r="B3" s="14" t="s">
        <v>37</v>
      </c>
      <c r="C3" s="13">
        <f t="shared" ref="C3:C9" si="0">A3*PI()/180</f>
        <v>0.52359877559829882</v>
      </c>
      <c r="D3" s="15">
        <f>RADIANS(A3)</f>
        <v>0.52359877559829882</v>
      </c>
      <c r="H3" s="20" t="s">
        <v>44</v>
      </c>
      <c r="I3" s="21">
        <v>0</v>
      </c>
      <c r="J3" s="22" t="s">
        <v>45</v>
      </c>
      <c r="K3" s="23" t="s">
        <v>46</v>
      </c>
      <c r="L3" s="23" t="s">
        <v>47</v>
      </c>
      <c r="M3" s="23">
        <v>1</v>
      </c>
      <c r="N3" s="23" t="s">
        <v>46</v>
      </c>
      <c r="O3" s="21">
        <v>0</v>
      </c>
      <c r="P3" s="21">
        <v>-1</v>
      </c>
      <c r="Q3" s="24">
        <v>0</v>
      </c>
    </row>
    <row r="4" spans="1:17">
      <c r="A4" s="12">
        <v>45</v>
      </c>
      <c r="B4" s="14" t="s">
        <v>38</v>
      </c>
      <c r="C4" s="13">
        <f t="shared" si="0"/>
        <v>0.78539816339744828</v>
      </c>
      <c r="D4" s="15">
        <f t="shared" ref="D4:D9" si="1">RADIANS(A4)</f>
        <v>0.78539816339744828</v>
      </c>
      <c r="H4" s="20" t="s">
        <v>48</v>
      </c>
      <c r="I4" s="21">
        <v>1</v>
      </c>
      <c r="J4" s="23" t="s">
        <v>47</v>
      </c>
      <c r="K4" s="23" t="s">
        <v>46</v>
      </c>
      <c r="L4" s="22" t="s">
        <v>45</v>
      </c>
      <c r="M4" s="23">
        <v>0</v>
      </c>
      <c r="N4" s="25" t="s">
        <v>49</v>
      </c>
      <c r="O4" s="21">
        <v>-1</v>
      </c>
      <c r="P4" s="21">
        <v>0</v>
      </c>
      <c r="Q4" s="26">
        <v>1</v>
      </c>
    </row>
    <row r="5" spans="1:17">
      <c r="A5" s="12">
        <v>60</v>
      </c>
      <c r="B5" s="14" t="s">
        <v>39</v>
      </c>
      <c r="C5" s="13">
        <f t="shared" si="0"/>
        <v>1.0471975511965976</v>
      </c>
      <c r="D5" s="15">
        <f t="shared" si="1"/>
        <v>1.0471975511965976</v>
      </c>
      <c r="H5" s="20" t="s">
        <v>50</v>
      </c>
      <c r="I5" s="21">
        <v>0</v>
      </c>
      <c r="J5" s="23" t="s">
        <v>51</v>
      </c>
      <c r="K5" s="21">
        <v>1</v>
      </c>
      <c r="L5" s="23" t="s">
        <v>52</v>
      </c>
      <c r="M5" s="23" t="s">
        <v>53</v>
      </c>
      <c r="N5" s="21">
        <v>-1</v>
      </c>
      <c r="O5" s="21">
        <v>0</v>
      </c>
      <c r="P5" s="22" t="s">
        <v>53</v>
      </c>
      <c r="Q5" s="26">
        <v>0</v>
      </c>
    </row>
    <row r="6" spans="1:17">
      <c r="A6" s="12">
        <v>90</v>
      </c>
      <c r="B6" s="14" t="s">
        <v>40</v>
      </c>
      <c r="C6" s="13">
        <f t="shared" si="0"/>
        <v>1.5707963267948966</v>
      </c>
      <c r="D6" s="15">
        <f t="shared" si="1"/>
        <v>1.5707963267948966</v>
      </c>
      <c r="H6" s="27" t="s">
        <v>54</v>
      </c>
      <c r="I6" s="28" t="s">
        <v>53</v>
      </c>
      <c r="J6" s="29" t="s">
        <v>52</v>
      </c>
      <c r="K6" s="28">
        <v>1</v>
      </c>
      <c r="L6" s="29" t="s">
        <v>51</v>
      </c>
      <c r="M6" s="29">
        <v>0</v>
      </c>
      <c r="N6" s="28">
        <v>-1</v>
      </c>
      <c r="O6" s="28" t="s">
        <v>53</v>
      </c>
      <c r="P6" s="28">
        <v>0</v>
      </c>
      <c r="Q6" s="30" t="s">
        <v>53</v>
      </c>
    </row>
    <row r="7" spans="1:17">
      <c r="A7" s="12">
        <v>180</v>
      </c>
      <c r="B7" s="14" t="s">
        <v>15</v>
      </c>
      <c r="C7" s="13">
        <f t="shared" si="0"/>
        <v>3.1415926535897931</v>
      </c>
      <c r="D7" s="15">
        <f t="shared" si="1"/>
        <v>3.1415926535897931</v>
      </c>
    </row>
    <row r="8" spans="1:17">
      <c r="A8" s="12">
        <v>270</v>
      </c>
      <c r="B8" s="14" t="s">
        <v>41</v>
      </c>
      <c r="C8" s="13">
        <f t="shared" si="0"/>
        <v>4.7123889803846897</v>
      </c>
      <c r="D8" s="15">
        <f t="shared" si="1"/>
        <v>4.7123889803846897</v>
      </c>
      <c r="H8" t="s">
        <v>55</v>
      </c>
      <c r="I8" t="s">
        <v>114</v>
      </c>
      <c r="K8" t="s">
        <v>115</v>
      </c>
    </row>
    <row r="9" spans="1:17">
      <c r="A9" s="12">
        <v>360</v>
      </c>
      <c r="B9" s="14" t="s">
        <v>42</v>
      </c>
      <c r="C9" s="13">
        <f t="shared" si="0"/>
        <v>6.2831853071795862</v>
      </c>
      <c r="D9" s="15">
        <f t="shared" si="1"/>
        <v>6.2831853071795862</v>
      </c>
      <c r="H9">
        <v>30</v>
      </c>
      <c r="I9">
        <f>SIN(H9)</f>
        <v>-0.98803162409286183</v>
      </c>
      <c r="J9" t="str">
        <f ca="1">_xlfn.FORMULATEXT(I9)</f>
        <v>=SIN(H9)</v>
      </c>
      <c r="K9">
        <f>SIN(RADIANS(H9))</f>
        <v>0.49999999999999994</v>
      </c>
      <c r="L9" t="str">
        <f t="shared" ref="J9:L16" ca="1" si="2">_xlfn.FORMULATEXT(K9)</f>
        <v>=SIN(RADIANS(H9))</v>
      </c>
    </row>
    <row r="10" spans="1:17">
      <c r="A10" s="12"/>
      <c r="B10" s="13"/>
      <c r="C10" s="46" t="str">
        <f ca="1">_xlfn.FORMULATEXT(C9)</f>
        <v>=A9*PI()/180</v>
      </c>
      <c r="D10" s="46" t="str">
        <f ca="1">_xlfn.FORMULATEXT(D9)</f>
        <v>=RADIANS(A9)</v>
      </c>
      <c r="H10">
        <v>30</v>
      </c>
      <c r="I10">
        <f>COS(H10)</f>
        <v>0.15425144988758405</v>
      </c>
      <c r="J10" t="str">
        <f t="shared" ca="1" si="2"/>
        <v>=COS(H10)</v>
      </c>
      <c r="K10">
        <f>COS(RADIANS(H10))</f>
        <v>0.86602540378443871</v>
      </c>
      <c r="L10" t="str">
        <f t="shared" ca="1" si="2"/>
        <v>=COS(RADIANS(H10))</v>
      </c>
    </row>
    <row r="11" spans="1:17">
      <c r="A11" s="1"/>
      <c r="H11">
        <v>30</v>
      </c>
      <c r="I11">
        <f>TAN(H11)</f>
        <v>-6.4053311966462756</v>
      </c>
      <c r="J11" t="str">
        <f t="shared" ca="1" si="2"/>
        <v>=TAN(H11)</v>
      </c>
      <c r="K11">
        <f>TAN(RADIANS(H11))</f>
        <v>0.57735026918962573</v>
      </c>
      <c r="L11" t="str">
        <f t="shared" ca="1" si="2"/>
        <v>=TAN(RADIANS(H11))</v>
      </c>
    </row>
    <row r="12" spans="1:17">
      <c r="A12" t="s">
        <v>34</v>
      </c>
      <c r="B12" t="s">
        <v>35</v>
      </c>
    </row>
    <row r="13" spans="1:17">
      <c r="A13">
        <v>30</v>
      </c>
      <c r="B13">
        <f>RADIANS(A13)</f>
        <v>0.52359877559829882</v>
      </c>
      <c r="C13" t="str">
        <f ca="1">_xlfn.FORMULATEXT(B13)</f>
        <v>=RADIANS(A13)</v>
      </c>
      <c r="H13" t="s">
        <v>55</v>
      </c>
      <c r="I13" t="s">
        <v>116</v>
      </c>
      <c r="K13" t="s">
        <v>117</v>
      </c>
    </row>
    <row r="14" spans="1:17">
      <c r="A14">
        <v>45</v>
      </c>
      <c r="B14">
        <f t="shared" ref="B14:B18" si="3">RADIANS(A14)</f>
        <v>0.78539816339744828</v>
      </c>
      <c r="C14" t="str">
        <f t="shared" ref="C14:C26" ca="1" si="4">_xlfn.FORMULATEXT(B14)</f>
        <v>=RADIANS(A14)</v>
      </c>
      <c r="H14">
        <v>0.5</v>
      </c>
      <c r="I14">
        <f>ASIN(H14)</f>
        <v>0.52359877559829893</v>
      </c>
      <c r="J14" t="str">
        <f t="shared" ca="1" si="2"/>
        <v>=ASIN(H14)</v>
      </c>
      <c r="K14">
        <f>DEGREES(ASIN(H14))</f>
        <v>30.000000000000004</v>
      </c>
      <c r="L14" t="str">
        <f t="shared" ca="1" si="2"/>
        <v>=DEGREES(ASIN(H14))</v>
      </c>
    </row>
    <row r="15" spans="1:17">
      <c r="A15">
        <v>90</v>
      </c>
      <c r="B15">
        <f t="shared" si="3"/>
        <v>1.5707963267948966</v>
      </c>
      <c r="C15" t="str">
        <f t="shared" ca="1" si="4"/>
        <v>=RADIANS(A15)</v>
      </c>
      <c r="H15">
        <v>0.86602000000000001</v>
      </c>
      <c r="I15">
        <f>ACOS(H15)</f>
        <v>0.52360958306602345</v>
      </c>
      <c r="J15" t="str">
        <f t="shared" ca="1" si="2"/>
        <v>=ACOS(H15)</v>
      </c>
      <c r="K15" s="9">
        <f>DEGREES(ACOS(H15))</f>
        <v>30.000619222287842</v>
      </c>
      <c r="L15" t="str">
        <f t="shared" ca="1" si="2"/>
        <v>=DEGREES(ACOS(H15))</v>
      </c>
    </row>
    <row r="16" spans="1:17">
      <c r="A16">
        <v>180</v>
      </c>
      <c r="B16">
        <f t="shared" si="3"/>
        <v>3.1415926535897931</v>
      </c>
      <c r="C16" t="str">
        <f t="shared" ca="1" si="4"/>
        <v>=RADIANS(A16)</v>
      </c>
      <c r="H16">
        <v>0.57735000000000003</v>
      </c>
      <c r="I16">
        <f>ATAN(H16)</f>
        <v>0.523598573706056</v>
      </c>
      <c r="J16" t="str">
        <f t="shared" ca="1" si="2"/>
        <v>=ATAN(H16)</v>
      </c>
      <c r="K16" s="9">
        <f>DEGREES(ATAN(H16))</f>
        <v>29.999988432426569</v>
      </c>
      <c r="L16" t="str">
        <f t="shared" ca="1" si="2"/>
        <v>=DEGREES(ATAN(H16))</v>
      </c>
    </row>
    <row r="17" spans="1:15">
      <c r="A17">
        <v>360</v>
      </c>
      <c r="B17">
        <f t="shared" si="3"/>
        <v>6.2831853071795862</v>
      </c>
      <c r="C17" t="str">
        <f t="shared" ca="1" si="4"/>
        <v>=RADIANS(A17)</v>
      </c>
    </row>
    <row r="18" spans="1:15">
      <c r="A18">
        <v>27.6</v>
      </c>
      <c r="B18">
        <f t="shared" si="3"/>
        <v>0.48171087355043496</v>
      </c>
      <c r="C18" t="str">
        <f t="shared" ca="1" si="4"/>
        <v>=RADIANS(A18)</v>
      </c>
      <c r="H18" t="s">
        <v>56</v>
      </c>
      <c r="I18">
        <v>0</v>
      </c>
      <c r="J18">
        <v>30</v>
      </c>
      <c r="K18">
        <v>45</v>
      </c>
      <c r="L18">
        <v>60</v>
      </c>
      <c r="M18">
        <v>90</v>
      </c>
    </row>
    <row r="19" spans="1:15">
      <c r="H19" t="s">
        <v>57</v>
      </c>
      <c r="I19">
        <f>RADIANS(I18)</f>
        <v>0</v>
      </c>
      <c r="J19">
        <f t="shared" ref="J19:M19" si="5">RADIANS(J18)</f>
        <v>0.52359877559829882</v>
      </c>
      <c r="K19">
        <f t="shared" si="5"/>
        <v>0.78539816339744828</v>
      </c>
      <c r="L19">
        <f t="shared" si="5"/>
        <v>1.0471975511965976</v>
      </c>
      <c r="M19">
        <f t="shared" si="5"/>
        <v>1.5707963267948966</v>
      </c>
      <c r="N19" t="str">
        <f ca="1">_xlfn.FORMULATEXT(M19)</f>
        <v>=RADIANS(M18)</v>
      </c>
    </row>
    <row r="20" spans="1:15">
      <c r="A20" t="s">
        <v>35</v>
      </c>
      <c r="B20" t="s">
        <v>34</v>
      </c>
      <c r="H20" t="s">
        <v>118</v>
      </c>
      <c r="I20">
        <f>SIN(RADIANS(I18))</f>
        <v>0</v>
      </c>
      <c r="J20">
        <f>SIN(RADIANS(J18))</f>
        <v>0.49999999999999994</v>
      </c>
      <c r="K20">
        <f>SIN(RADIANS(K18))</f>
        <v>0.70710678118654746</v>
      </c>
      <c r="L20">
        <f>SIN(RADIANS(L18))</f>
        <v>0.8660254037844386</v>
      </c>
      <c r="M20">
        <f>SIN(RADIANS(M18))</f>
        <v>1</v>
      </c>
      <c r="N20" t="str">
        <f t="shared" ref="N20:N23" ca="1" si="6">_xlfn.FORMULATEXT(M20)</f>
        <v>=SIN(RADIANS(M18))</v>
      </c>
    </row>
    <row r="21" spans="1:15">
      <c r="A21">
        <v>0.1</v>
      </c>
      <c r="B21" s="11">
        <f>DEGREES(A21)</f>
        <v>5.729577951308233</v>
      </c>
      <c r="C21" t="str">
        <f t="shared" ca="1" si="4"/>
        <v>=DEGREES(A21)</v>
      </c>
      <c r="H21" t="s">
        <v>119</v>
      </c>
      <c r="I21">
        <f>SIN(I19)</f>
        <v>0</v>
      </c>
      <c r="J21">
        <f t="shared" ref="J21:M21" si="7">SIN(J19)</f>
        <v>0.49999999999999994</v>
      </c>
      <c r="K21">
        <f t="shared" si="7"/>
        <v>0.70710678118654746</v>
      </c>
      <c r="L21">
        <f t="shared" si="7"/>
        <v>0.8660254037844386</v>
      </c>
      <c r="M21">
        <f t="shared" si="7"/>
        <v>1</v>
      </c>
      <c r="N21" t="str">
        <f t="shared" ca="1" si="6"/>
        <v>=SIN(M19)</v>
      </c>
    </row>
    <row r="22" spans="1:15">
      <c r="A22">
        <v>0.52300000000000002</v>
      </c>
      <c r="B22" s="11">
        <f t="shared" ref="B22:B26" si="8">DEGREES(A22)</f>
        <v>29.965692685342056</v>
      </c>
      <c r="C22" t="str">
        <f t="shared" ca="1" si="4"/>
        <v>=DEGREES(A22)</v>
      </c>
      <c r="H22" t="s">
        <v>121</v>
      </c>
      <c r="I22">
        <f>DEGREES(ASIN(I21))</f>
        <v>0</v>
      </c>
      <c r="J22">
        <f t="shared" ref="J22:L22" si="9">DEGREES(ASIN(J21))</f>
        <v>29.999999999999996</v>
      </c>
      <c r="K22">
        <f t="shared" si="9"/>
        <v>45</v>
      </c>
      <c r="L22">
        <f t="shared" si="9"/>
        <v>59.999999999999993</v>
      </c>
      <c r="M22">
        <f>DEGREES(ASIN(M21))</f>
        <v>90</v>
      </c>
      <c r="N22" t="str">
        <f t="shared" ca="1" si="6"/>
        <v>=DEGREES(ASIN(M21))</v>
      </c>
    </row>
    <row r="23" spans="1:15">
      <c r="A23">
        <v>1.57</v>
      </c>
      <c r="B23" s="11">
        <f t="shared" si="8"/>
        <v>89.954373835539243</v>
      </c>
      <c r="C23" t="str">
        <f t="shared" ca="1" si="4"/>
        <v>=DEGREES(A23)</v>
      </c>
      <c r="H23" t="s">
        <v>120</v>
      </c>
      <c r="I23">
        <f>ASIN(I21)</f>
        <v>0</v>
      </c>
      <c r="J23">
        <f t="shared" ref="J23:L23" si="10">ASIN(J21)</f>
        <v>0.52359877559829882</v>
      </c>
      <c r="K23">
        <f t="shared" si="10"/>
        <v>0.78539816339744828</v>
      </c>
      <c r="L23">
        <f t="shared" si="10"/>
        <v>1.0471975511965976</v>
      </c>
      <c r="M23">
        <f>ASIN(M21)</f>
        <v>1.5707963267948966</v>
      </c>
      <c r="N23" t="str">
        <f t="shared" ca="1" si="6"/>
        <v>=ASIN(M21)</v>
      </c>
    </row>
    <row r="24" spans="1:15">
      <c r="A24">
        <v>3.14</v>
      </c>
      <c r="B24" s="11">
        <f t="shared" si="8"/>
        <v>179.90874767107849</v>
      </c>
      <c r="C24" t="str">
        <f t="shared" ca="1" si="4"/>
        <v>=DEGREES(A24)</v>
      </c>
    </row>
    <row r="25" spans="1:15">
      <c r="A25">
        <v>6.2830000000000004</v>
      </c>
      <c r="B25" s="11">
        <f t="shared" si="8"/>
        <v>359.98938268069628</v>
      </c>
      <c r="C25" t="str">
        <f t="shared" ca="1" si="4"/>
        <v>=DEGREES(A25)</v>
      </c>
    </row>
    <row r="26" spans="1:15">
      <c r="A26">
        <v>0.48199999999999998</v>
      </c>
      <c r="B26" s="11">
        <f t="shared" si="8"/>
        <v>27.61656572530568</v>
      </c>
      <c r="C26" t="str">
        <f t="shared" ca="1" si="4"/>
        <v>=DEGREES(A26)</v>
      </c>
    </row>
    <row r="27" spans="1:15">
      <c r="B27" s="11"/>
      <c r="O27" s="2"/>
    </row>
    <row r="28" spans="1:15">
      <c r="A28" t="s">
        <v>34</v>
      </c>
      <c r="B28" s="11"/>
      <c r="D28" t="s">
        <v>113</v>
      </c>
    </row>
    <row r="29" spans="1:15">
      <c r="A29">
        <v>30</v>
      </c>
      <c r="B29" s="48">
        <f>SIN(A29)</f>
        <v>-0.98803162409286183</v>
      </c>
      <c r="C29" s="48" t="str">
        <f ca="1">_xlfn.FORMULATEXT(B29)</f>
        <v>=SIN(A29)</v>
      </c>
      <c r="D29" s="5">
        <f>SIN(RADIANS(A29))</f>
        <v>0.49999999999999994</v>
      </c>
      <c r="E29" t="str">
        <f ca="1">_xlfn.FORMULATEXT(D29)</f>
        <v>=SIN(RADIANS(A29))</v>
      </c>
    </row>
    <row r="30" spans="1:15">
      <c r="A30">
        <v>45</v>
      </c>
      <c r="B30" s="11"/>
      <c r="D30" s="5">
        <f t="shared" ref="D30:D37" si="11">SIN(RADIANS(A30))</f>
        <v>0.70710678118654746</v>
      </c>
    </row>
    <row r="31" spans="1:15">
      <c r="A31">
        <v>60</v>
      </c>
      <c r="D31" s="5">
        <f t="shared" si="11"/>
        <v>0.8660254037844386</v>
      </c>
    </row>
    <row r="32" spans="1:15">
      <c r="A32">
        <v>90</v>
      </c>
      <c r="D32" s="5">
        <f t="shared" si="11"/>
        <v>1</v>
      </c>
    </row>
    <row r="33" spans="1:5">
      <c r="A33">
        <v>180</v>
      </c>
      <c r="D33" s="5">
        <f t="shared" si="11"/>
        <v>1.22514845490862E-16</v>
      </c>
    </row>
    <row r="34" spans="1:5">
      <c r="D34" s="5"/>
    </row>
    <row r="35" spans="1:5">
      <c r="D35" s="5"/>
    </row>
    <row r="36" spans="1:5">
      <c r="A36">
        <v>270</v>
      </c>
      <c r="D36" s="5">
        <f t="shared" si="11"/>
        <v>-1</v>
      </c>
    </row>
    <row r="37" spans="1:5">
      <c r="A37">
        <v>360</v>
      </c>
      <c r="D37">
        <f t="shared" si="11"/>
        <v>-2.45029690981724E-16</v>
      </c>
    </row>
    <row r="38" spans="1:5">
      <c r="A38" s="12"/>
      <c r="B38" s="12"/>
      <c r="C38" s="12"/>
      <c r="D38" s="12"/>
      <c r="E38" s="12"/>
    </row>
    <row r="39" spans="1:5">
      <c r="B39" s="11"/>
    </row>
    <row r="40" spans="1:5">
      <c r="B40" s="11"/>
    </row>
    <row r="41" spans="1:5">
      <c r="B41" s="11"/>
    </row>
    <row r="42" spans="1:5">
      <c r="B42" s="11"/>
    </row>
    <row r="43" spans="1:5">
      <c r="B43" s="15"/>
    </row>
    <row r="44" spans="1:5">
      <c r="B44" s="16"/>
    </row>
    <row r="50" spans="16:19">
      <c r="P50" s="2"/>
      <c r="Q50" s="2"/>
      <c r="R50" s="2"/>
      <c r="S50" s="2"/>
    </row>
    <row r="51" spans="16:19">
      <c r="Q51" s="2"/>
    </row>
  </sheetData>
  <pageMargins left="0.7" right="0.7" top="0.75" bottom="0.75" header="0.3" footer="0.3"/>
  <ignoredErrors>
    <ignoredError sqref="K14:K16 K9:K11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03073-3ECC-445B-8429-E0FAAC3D5378}">
  <dimension ref="A1:Q12"/>
  <sheetViews>
    <sheetView workbookViewId="0">
      <selection activeCell="AG8" sqref="AG8"/>
    </sheetView>
  </sheetViews>
  <sheetFormatPr defaultRowHeight="15"/>
  <cols>
    <col min="1" max="1" width="13.85546875" customWidth="1"/>
  </cols>
  <sheetData>
    <row r="1" spans="1:17">
      <c r="A1" s="1" t="s">
        <v>60</v>
      </c>
    </row>
    <row r="2" spans="1:17">
      <c r="A2" t="s">
        <v>0</v>
      </c>
      <c r="B2" t="s">
        <v>59</v>
      </c>
      <c r="P2" t="s">
        <v>0</v>
      </c>
      <c r="Q2" t="s">
        <v>58</v>
      </c>
    </row>
    <row r="3" spans="1:17">
      <c r="A3">
        <v>1</v>
      </c>
      <c r="B3">
        <f t="shared" ref="B3:B10" si="0">1/A3</f>
        <v>1</v>
      </c>
      <c r="P3">
        <v>1</v>
      </c>
      <c r="Q3">
        <f t="shared" ref="Q3:Q12" si="1">1+2*P3</f>
        <v>3</v>
      </c>
    </row>
    <row r="4" spans="1:17">
      <c r="A4">
        <v>10</v>
      </c>
      <c r="B4">
        <f t="shared" si="0"/>
        <v>0.1</v>
      </c>
      <c r="P4">
        <v>2</v>
      </c>
      <c r="Q4">
        <f t="shared" si="1"/>
        <v>5</v>
      </c>
    </row>
    <row r="5" spans="1:17">
      <c r="A5">
        <v>100</v>
      </c>
      <c r="B5">
        <f t="shared" si="0"/>
        <v>0.01</v>
      </c>
      <c r="P5">
        <v>3</v>
      </c>
      <c r="Q5">
        <f t="shared" si="1"/>
        <v>7</v>
      </c>
    </row>
    <row r="6" spans="1:17">
      <c r="A6">
        <v>1000</v>
      </c>
      <c r="B6">
        <f t="shared" si="0"/>
        <v>1E-3</v>
      </c>
      <c r="P6">
        <v>4</v>
      </c>
      <c r="Q6">
        <f t="shared" si="1"/>
        <v>9</v>
      </c>
    </row>
    <row r="7" spans="1:17">
      <c r="A7">
        <v>10000</v>
      </c>
      <c r="B7">
        <f t="shared" si="0"/>
        <v>1E-4</v>
      </c>
      <c r="P7">
        <v>5</v>
      </c>
      <c r="Q7">
        <f t="shared" si="1"/>
        <v>11</v>
      </c>
    </row>
    <row r="8" spans="1:17">
      <c r="A8">
        <v>100000</v>
      </c>
      <c r="B8">
        <f t="shared" si="0"/>
        <v>1.0000000000000001E-5</v>
      </c>
      <c r="P8">
        <v>6</v>
      </c>
      <c r="Q8">
        <f t="shared" si="1"/>
        <v>13</v>
      </c>
    </row>
    <row r="9" spans="1:17">
      <c r="A9">
        <v>1000000</v>
      </c>
      <c r="B9">
        <f t="shared" si="0"/>
        <v>9.9999999999999995E-7</v>
      </c>
      <c r="P9">
        <v>7</v>
      </c>
      <c r="Q9">
        <f t="shared" si="1"/>
        <v>15</v>
      </c>
    </row>
    <row r="10" spans="1:17">
      <c r="A10">
        <v>10000000000</v>
      </c>
      <c r="B10">
        <f t="shared" si="0"/>
        <v>1E-10</v>
      </c>
      <c r="P10">
        <v>8</v>
      </c>
      <c r="Q10">
        <f t="shared" si="1"/>
        <v>17</v>
      </c>
    </row>
    <row r="11" spans="1:17">
      <c r="P11">
        <v>9</v>
      </c>
      <c r="Q11">
        <f t="shared" si="1"/>
        <v>19</v>
      </c>
    </row>
    <row r="12" spans="1:17">
      <c r="P12">
        <v>10</v>
      </c>
      <c r="Q12">
        <f t="shared" si="1"/>
        <v>21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A97FF-6B03-4942-A42B-AFAC19E149AE}">
  <dimension ref="A1:L23"/>
  <sheetViews>
    <sheetView workbookViewId="0">
      <selection activeCell="D1" sqref="D1"/>
    </sheetView>
  </sheetViews>
  <sheetFormatPr defaultRowHeight="15"/>
  <sheetData>
    <row r="1" spans="1:12">
      <c r="A1" s="1" t="s">
        <v>97</v>
      </c>
    </row>
    <row r="2" spans="1:12">
      <c r="A2" t="s">
        <v>62</v>
      </c>
      <c r="H2" t="s">
        <v>66</v>
      </c>
    </row>
    <row r="3" spans="1:12">
      <c r="A3">
        <v>2</v>
      </c>
      <c r="B3">
        <v>3</v>
      </c>
      <c r="D3">
        <f t="array" ref="D3:D5">A3:A5+B3:B5</f>
        <v>5</v>
      </c>
      <c r="E3" t="str">
        <f ca="1">_xlfn.FORMULATEXT(D3)</f>
        <v>{=A3:A5+B3:B5}</v>
      </c>
      <c r="H3">
        <v>2</v>
      </c>
    </row>
    <row r="4" spans="1:12">
      <c r="A4">
        <v>1</v>
      </c>
      <c r="B4">
        <v>5</v>
      </c>
      <c r="D4">
        <v>6</v>
      </c>
      <c r="E4" t="str">
        <f t="shared" ref="E4:E23" ca="1" si="0">_xlfn.FORMULATEXT(D4)</f>
        <v>{=A3:A5+B3:B5}</v>
      </c>
      <c r="H4">
        <v>-4</v>
      </c>
      <c r="K4">
        <f>SQRT(SUMSQ(H3:H6))</f>
        <v>5</v>
      </c>
      <c r="L4" t="str">
        <f ca="1">_xlfn.FORMULATEXT(K4)</f>
        <v>=SQRT(SUMSQ(H3:H6))</v>
      </c>
    </row>
    <row r="5" spans="1:12">
      <c r="A5">
        <v>8</v>
      </c>
      <c r="B5">
        <v>9</v>
      </c>
      <c r="D5">
        <v>17</v>
      </c>
      <c r="E5" t="str">
        <f t="shared" ca="1" si="0"/>
        <v>{=A3:A5+B3:B5}</v>
      </c>
      <c r="H5">
        <v>2</v>
      </c>
    </row>
    <row r="6" spans="1:12">
      <c r="H6">
        <v>1</v>
      </c>
    </row>
    <row r="7" spans="1:12">
      <c r="A7">
        <v>2</v>
      </c>
      <c r="B7">
        <v>3</v>
      </c>
      <c r="D7">
        <f t="array" ref="D7:D9">A7:A9-B7:B9</f>
        <v>-1</v>
      </c>
      <c r="E7" t="str">
        <f t="shared" ca="1" si="0"/>
        <v>{=A7:A9-B7:B9}</v>
      </c>
    </row>
    <row r="8" spans="1:12">
      <c r="A8">
        <v>1</v>
      </c>
      <c r="B8">
        <v>5</v>
      </c>
      <c r="D8">
        <v>-4</v>
      </c>
      <c r="E8" t="str">
        <f t="shared" ca="1" si="0"/>
        <v>{=A7:A9-B7:B9}</v>
      </c>
      <c r="H8" t="s">
        <v>65</v>
      </c>
    </row>
    <row r="9" spans="1:12">
      <c r="A9">
        <v>8</v>
      </c>
      <c r="B9">
        <v>9</v>
      </c>
      <c r="D9">
        <v>-1</v>
      </c>
      <c r="E9" t="str">
        <f t="shared" ca="1" si="0"/>
        <v>{=A7:A9-B7:B9}</v>
      </c>
      <c r="H9">
        <v>2</v>
      </c>
      <c r="I9">
        <v>3</v>
      </c>
    </row>
    <row r="10" spans="1:12">
      <c r="H10">
        <v>1</v>
      </c>
      <c r="I10">
        <v>5</v>
      </c>
      <c r="K10">
        <f>SUMPRODUCT(H9:H11,I9:I11)</f>
        <v>83</v>
      </c>
      <c r="L10" t="str">
        <f ca="1">_xlfn.FORMULATEXT(K10)</f>
        <v>=SUMPRODUCT(H9:H11,I9:I11)</v>
      </c>
    </row>
    <row r="11" spans="1:12">
      <c r="A11" t="s">
        <v>63</v>
      </c>
      <c r="H11">
        <v>8</v>
      </c>
      <c r="I11">
        <v>9</v>
      </c>
    </row>
    <row r="12" spans="1:12">
      <c r="A12">
        <v>2</v>
      </c>
      <c r="B12">
        <v>3</v>
      </c>
      <c r="D12">
        <f t="array" ref="D12:D14">A12:A14*B12:B14</f>
        <v>6</v>
      </c>
      <c r="E12" t="str">
        <f t="shared" ca="1" si="0"/>
        <v>{=A12:A14*B12:B14}</v>
      </c>
    </row>
    <row r="13" spans="1:12">
      <c r="A13">
        <v>1</v>
      </c>
      <c r="B13">
        <v>5</v>
      </c>
      <c r="D13">
        <v>5</v>
      </c>
      <c r="E13" t="str">
        <f t="shared" ca="1" si="0"/>
        <v>{=A12:A14*B12:B14}</v>
      </c>
    </row>
    <row r="14" spans="1:12">
      <c r="A14">
        <v>8</v>
      </c>
      <c r="B14">
        <v>9</v>
      </c>
      <c r="D14">
        <v>72</v>
      </c>
      <c r="E14" t="str">
        <f t="shared" ca="1" si="0"/>
        <v>{=A12:A14*B12:B14}</v>
      </c>
    </row>
    <row r="16" spans="1:12">
      <c r="A16">
        <v>2</v>
      </c>
      <c r="B16">
        <v>3</v>
      </c>
      <c r="D16">
        <f t="array" ref="D16:D18">A16:A18/B16:B18</f>
        <v>0.66666666666666663</v>
      </c>
      <c r="E16" t="str">
        <f t="shared" ca="1" si="0"/>
        <v>{=A16:A18/B16:B18}</v>
      </c>
    </row>
    <row r="17" spans="1:5">
      <c r="A17">
        <v>1</v>
      </c>
      <c r="B17">
        <v>5</v>
      </c>
      <c r="D17">
        <v>0.2</v>
      </c>
      <c r="E17" t="str">
        <f t="shared" ca="1" si="0"/>
        <v>{=A16:A18/B16:B18}</v>
      </c>
    </row>
    <row r="18" spans="1:5">
      <c r="A18">
        <v>8</v>
      </c>
      <c r="B18">
        <v>9</v>
      </c>
      <c r="D18">
        <v>0.88888888888888884</v>
      </c>
      <c r="E18" t="str">
        <f t="shared" ca="1" si="0"/>
        <v>{=A16:A18/B16:B18}</v>
      </c>
    </row>
    <row r="20" spans="1:5">
      <c r="A20" t="s">
        <v>64</v>
      </c>
    </row>
    <row r="21" spans="1:5">
      <c r="A21">
        <v>2</v>
      </c>
      <c r="D21">
        <f t="array" ref="D21:D23">A21:A23*B22</f>
        <v>18</v>
      </c>
      <c r="E21" t="str">
        <f t="shared" ca="1" si="0"/>
        <v>{=A21:A23*B22}</v>
      </c>
    </row>
    <row r="22" spans="1:5">
      <c r="A22">
        <v>1</v>
      </c>
      <c r="B22">
        <v>9</v>
      </c>
      <c r="D22">
        <v>9</v>
      </c>
      <c r="E22" t="str">
        <f t="shared" ca="1" si="0"/>
        <v>{=A21:A23*B22}</v>
      </c>
    </row>
    <row r="23" spans="1:5">
      <c r="A23">
        <v>8</v>
      </c>
      <c r="D23">
        <v>72</v>
      </c>
      <c r="E23" t="str">
        <f t="shared" ca="1" si="0"/>
        <v>{=A21:A23*B22}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CF163-550F-4A38-8360-1DE4917B3DB0}">
  <dimension ref="A1:X35"/>
  <sheetViews>
    <sheetView workbookViewId="0">
      <selection activeCell="A2" sqref="A2"/>
    </sheetView>
  </sheetViews>
  <sheetFormatPr defaultRowHeight="15"/>
  <cols>
    <col min="9" max="9" width="14.42578125" customWidth="1"/>
  </cols>
  <sheetData>
    <row r="1" spans="1:24">
      <c r="A1" s="1" t="s">
        <v>96</v>
      </c>
    </row>
    <row r="2" spans="1:24">
      <c r="B2" t="s">
        <v>67</v>
      </c>
      <c r="C2" t="s">
        <v>68</v>
      </c>
      <c r="D2" t="s">
        <v>69</v>
      </c>
      <c r="E2" t="s">
        <v>70</v>
      </c>
      <c r="F2" t="s">
        <v>71</v>
      </c>
      <c r="N2" t="s">
        <v>79</v>
      </c>
      <c r="Q2" t="s">
        <v>82</v>
      </c>
      <c r="V2" t="s">
        <v>83</v>
      </c>
    </row>
    <row r="3" spans="1:24">
      <c r="A3" t="s">
        <v>72</v>
      </c>
      <c r="B3">
        <v>15</v>
      </c>
      <c r="C3">
        <v>3</v>
      </c>
      <c r="D3">
        <v>2</v>
      </c>
      <c r="E3">
        <v>2</v>
      </c>
      <c r="F3">
        <f>SUM(B3:E3)</f>
        <v>22</v>
      </c>
      <c r="H3">
        <f t="array" ref="H3:H5">B3:B5+C3:C5+D3:D5+E3:E5</f>
        <v>22</v>
      </c>
      <c r="I3" t="str">
        <f ca="1">_xlfn.FORMULATEXT(H3)</f>
        <v>{=B3:B5+C3:C5+D3:D5+E3:E5}</v>
      </c>
      <c r="N3">
        <v>3</v>
      </c>
      <c r="O3">
        <v>2</v>
      </c>
      <c r="Q3" s="31">
        <f t="array" ref="Q3:R4">MINVERSE(N3:O4)</f>
        <v>0.39999999999999997</v>
      </c>
      <c r="R3" s="31">
        <v>-0.19999999999999998</v>
      </c>
      <c r="S3" t="str">
        <f t="shared" ref="S3" ca="1" si="0">_xlfn.FORMULATEXT(R3)</f>
        <v>{=MINVERSE(N3:O4)}</v>
      </c>
      <c r="V3" s="31">
        <f t="array" ref="V3:W4">MMULT(N3:O4,Q3:R4)</f>
        <v>1</v>
      </c>
      <c r="W3" s="31">
        <v>0</v>
      </c>
      <c r="X3" t="str">
        <f t="shared" ref="X3:X4" ca="1" si="1">_xlfn.FORMULATEXT(W3)</f>
        <v>{=MMULT(N3:O4,Q3:R4)}</v>
      </c>
    </row>
    <row r="4" spans="1:24">
      <c r="A4" t="s">
        <v>73</v>
      </c>
      <c r="B4">
        <v>17</v>
      </c>
      <c r="C4">
        <v>2</v>
      </c>
      <c r="D4">
        <v>5</v>
      </c>
      <c r="E4">
        <v>3</v>
      </c>
      <c r="F4">
        <f t="shared" ref="F4:F5" si="2">SUM(B4:E4)</f>
        <v>27</v>
      </c>
      <c r="H4">
        <v>27</v>
      </c>
      <c r="I4" t="str">
        <f t="shared" ref="I4:I5" ca="1" si="3">_xlfn.FORMULATEXT(H4)</f>
        <v>{=B3:B5+C3:C5+D3:D5+E3:E5}</v>
      </c>
      <c r="N4">
        <v>1</v>
      </c>
      <c r="O4">
        <v>4</v>
      </c>
      <c r="Q4" s="31">
        <v>-9.9999999999999992E-2</v>
      </c>
      <c r="R4" s="31">
        <v>0.3</v>
      </c>
      <c r="V4" s="31">
        <v>0</v>
      </c>
      <c r="W4" s="31">
        <v>1</v>
      </c>
      <c r="X4" t="str">
        <f t="shared" ca="1" si="1"/>
        <v>{=MMULT(N3:O4,Q3:R4)}</v>
      </c>
    </row>
    <row r="5" spans="1:24">
      <c r="A5" t="s">
        <v>71</v>
      </c>
      <c r="B5">
        <f>SUM(B3:B4)</f>
        <v>32</v>
      </c>
      <c r="C5">
        <f t="shared" ref="C5:E5" si="4">SUM(C3:C4)</f>
        <v>5</v>
      </c>
      <c r="D5">
        <f t="shared" si="4"/>
        <v>7</v>
      </c>
      <c r="E5">
        <f t="shared" si="4"/>
        <v>5</v>
      </c>
      <c r="F5">
        <f t="shared" si="2"/>
        <v>49</v>
      </c>
      <c r="H5">
        <v>49</v>
      </c>
      <c r="I5" t="str">
        <f t="shared" ca="1" si="3"/>
        <v>{=B3:B5+C3:C5+D3:D5+E3:E5}</v>
      </c>
    </row>
    <row r="6" spans="1:24">
      <c r="N6" t="s">
        <v>84</v>
      </c>
    </row>
    <row r="7" spans="1:24">
      <c r="A7" t="s">
        <v>74</v>
      </c>
      <c r="N7">
        <v>13</v>
      </c>
      <c r="O7">
        <v>26</v>
      </c>
      <c r="Q7">
        <v>7</v>
      </c>
      <c r="R7">
        <v>4</v>
      </c>
      <c r="T7" s="31">
        <f t="array" ref="T7:U8">MMULT(N7:O8,MINVERSE(Q7:R8))</f>
        <v>-0.99999999999999956</v>
      </c>
      <c r="U7" s="31">
        <v>10</v>
      </c>
      <c r="V7" t="str">
        <f t="shared" ref="V7" ca="1" si="5">_xlfn.FORMULATEXT(U7)</f>
        <v>{=MMULT(N7:O8,MINVERSE(Q7:R8))}</v>
      </c>
    </row>
    <row r="8" spans="1:24">
      <c r="A8">
        <v>1</v>
      </c>
      <c r="B8">
        <v>3</v>
      </c>
      <c r="D8">
        <v>6</v>
      </c>
      <c r="E8">
        <v>3</v>
      </c>
      <c r="G8" s="31">
        <f t="array" ref="G8:H9">A8:B9+D8:E9</f>
        <v>7</v>
      </c>
      <c r="H8" s="31">
        <v>6</v>
      </c>
      <c r="I8" t="str">
        <f t="shared" ref="I8:I9" ca="1" si="6">_xlfn.FORMULATEXT(H8)</f>
        <v>{=A8:B9+D8:E9}</v>
      </c>
      <c r="J8" t="s">
        <v>75</v>
      </c>
      <c r="N8">
        <v>39</v>
      </c>
      <c r="O8">
        <v>13</v>
      </c>
      <c r="Q8">
        <v>2</v>
      </c>
      <c r="R8">
        <v>3</v>
      </c>
      <c r="T8" s="31">
        <v>7</v>
      </c>
      <c r="U8" s="31">
        <v>-4.9999999999999982</v>
      </c>
    </row>
    <row r="9" spans="1:24">
      <c r="A9">
        <v>5</v>
      </c>
      <c r="B9">
        <v>-4</v>
      </c>
      <c r="D9">
        <v>-2</v>
      </c>
      <c r="E9">
        <v>-1</v>
      </c>
      <c r="G9" s="31">
        <v>3</v>
      </c>
      <c r="H9" s="31">
        <v>-5</v>
      </c>
      <c r="I9" t="str">
        <f t="shared" ca="1" si="6"/>
        <v>{=A8:B9+D8:E9}</v>
      </c>
      <c r="J9" t="s">
        <v>75</v>
      </c>
    </row>
    <row r="10" spans="1:24">
      <c r="N10" t="s">
        <v>90</v>
      </c>
      <c r="S10" t="s">
        <v>91</v>
      </c>
    </row>
    <row r="11" spans="1:24">
      <c r="A11" t="s">
        <v>76</v>
      </c>
      <c r="N11">
        <v>1</v>
      </c>
      <c r="O11">
        <v>2</v>
      </c>
      <c r="P11">
        <v>3</v>
      </c>
      <c r="S11" s="31">
        <f t="array" ref="S11:U13">MINVERSE(N11:P13)</f>
        <v>0.84615384615384603</v>
      </c>
      <c r="T11" s="31">
        <v>-0.69230769230769251</v>
      </c>
      <c r="U11" s="31">
        <v>0.15384615384615397</v>
      </c>
      <c r="V11" t="str">
        <f t="shared" ref="V11" ca="1" si="7">_xlfn.FORMULATEXT(U11)</f>
        <v>{=MINVERSE(N11:P13)}</v>
      </c>
    </row>
    <row r="12" spans="1:24">
      <c r="A12">
        <v>1</v>
      </c>
      <c r="B12">
        <v>3</v>
      </c>
      <c r="D12">
        <v>6</v>
      </c>
      <c r="E12">
        <v>3</v>
      </c>
      <c r="G12" s="31">
        <f t="array" ref="G12:H13">MMULT(A12:B13,D12:E13)</f>
        <v>0</v>
      </c>
      <c r="H12" s="31">
        <v>0</v>
      </c>
      <c r="I12" t="str">
        <f t="shared" ref="I12" ca="1" si="8">_xlfn.FORMULATEXT(H12)</f>
        <v>{=MMULT(A12:B13,D12:E13)}</v>
      </c>
      <c r="N12">
        <v>0</v>
      </c>
      <c r="O12">
        <v>4</v>
      </c>
      <c r="P12">
        <v>5</v>
      </c>
      <c r="S12" s="31">
        <v>-0.38461538461538469</v>
      </c>
      <c r="T12" s="31">
        <v>-0.23076923076923084</v>
      </c>
      <c r="U12" s="31">
        <v>0.38461538461538469</v>
      </c>
    </row>
    <row r="13" spans="1:24">
      <c r="A13">
        <v>5</v>
      </c>
      <c r="B13">
        <v>-4</v>
      </c>
      <c r="D13">
        <v>-2</v>
      </c>
      <c r="E13">
        <v>-1</v>
      </c>
      <c r="G13" s="31">
        <v>38</v>
      </c>
      <c r="H13" s="31">
        <v>19</v>
      </c>
      <c r="N13">
        <v>1</v>
      </c>
      <c r="O13">
        <v>7</v>
      </c>
      <c r="P13">
        <v>6</v>
      </c>
      <c r="S13" s="31">
        <v>0.30769230769230776</v>
      </c>
      <c r="T13" s="31">
        <v>0.38461538461538469</v>
      </c>
      <c r="U13" s="31">
        <v>-0.30769230769230776</v>
      </c>
    </row>
    <row r="14" spans="1:24">
      <c r="G14" s="31"/>
      <c r="H14" s="31"/>
      <c r="S14" s="32"/>
      <c r="T14" s="32"/>
      <c r="U14" s="32"/>
    </row>
    <row r="16" spans="1:24">
      <c r="A16" t="s">
        <v>77</v>
      </c>
      <c r="N16" s="33" t="s">
        <v>85</v>
      </c>
      <c r="O16" s="33"/>
      <c r="P16" s="33"/>
      <c r="Q16" s="33"/>
      <c r="R16" s="33"/>
      <c r="S16" s="33"/>
      <c r="T16" s="33"/>
      <c r="U16" s="33"/>
      <c r="V16" s="33"/>
    </row>
    <row r="17" spans="1:22">
      <c r="A17">
        <v>2</v>
      </c>
      <c r="B17">
        <v>-3</v>
      </c>
      <c r="E17" s="31">
        <f t="array" ref="E17:F18">A17:B18*C18</f>
        <v>10</v>
      </c>
      <c r="F17" s="31">
        <v>-15</v>
      </c>
      <c r="G17" t="str">
        <f t="shared" ref="G17" ca="1" si="9">_xlfn.FORMULATEXT(F17)</f>
        <v>{=A17:B18*C18}</v>
      </c>
      <c r="N17" s="33" t="s">
        <v>86</v>
      </c>
      <c r="O17" s="33"/>
      <c r="P17" s="33"/>
      <c r="Q17" s="33" t="s">
        <v>87</v>
      </c>
      <c r="R17" s="33"/>
      <c r="S17" s="33" t="s">
        <v>88</v>
      </c>
      <c r="T17" s="33"/>
      <c r="U17" s="33"/>
      <c r="V17" s="33"/>
    </row>
    <row r="18" spans="1:22">
      <c r="A18">
        <v>0</v>
      </c>
      <c r="B18">
        <v>4</v>
      </c>
      <c r="C18">
        <v>5</v>
      </c>
      <c r="E18" s="31">
        <v>0</v>
      </c>
      <c r="F18" s="31">
        <v>20</v>
      </c>
      <c r="N18" s="33">
        <f>(O12*P13)-(P12*O13)</f>
        <v>-11</v>
      </c>
      <c r="O18" s="33">
        <f>(N12*P13)-(P12*N13)</f>
        <v>-5</v>
      </c>
      <c r="P18" s="33">
        <f>(N12*O13)-(O12*N13)</f>
        <v>-4</v>
      </c>
      <c r="Q18" s="34" t="s">
        <v>89</v>
      </c>
      <c r="R18" s="34" t="s">
        <v>53</v>
      </c>
      <c r="S18" s="34" t="s">
        <v>89</v>
      </c>
      <c r="T18" s="33">
        <f>N18*1</f>
        <v>-11</v>
      </c>
      <c r="U18" s="33">
        <f>O18*-1</f>
        <v>5</v>
      </c>
      <c r="V18" s="33">
        <f>P18*1</f>
        <v>-4</v>
      </c>
    </row>
    <row r="19" spans="1:22">
      <c r="N19" s="33">
        <f>(O11*P13)-(P11*O13)</f>
        <v>-9</v>
      </c>
      <c r="O19" s="33">
        <f>(N11*P13)-(P11*N13)</f>
        <v>3</v>
      </c>
      <c r="P19" s="33">
        <f>(N11*O13)-(O11*N13)</f>
        <v>5</v>
      </c>
      <c r="Q19" s="34" t="s">
        <v>53</v>
      </c>
      <c r="R19" s="34" t="s">
        <v>89</v>
      </c>
      <c r="S19" s="34" t="s">
        <v>53</v>
      </c>
      <c r="T19" s="33">
        <f>N19*-1</f>
        <v>9</v>
      </c>
      <c r="U19" s="33">
        <f>O19*1</f>
        <v>3</v>
      </c>
      <c r="V19" s="33">
        <f>P19*-1</f>
        <v>-5</v>
      </c>
    </row>
    <row r="20" spans="1:22">
      <c r="A20" t="s">
        <v>78</v>
      </c>
      <c r="N20" s="33">
        <f>(O11*P12)-(P11*O12)</f>
        <v>-2</v>
      </c>
      <c r="O20" s="33">
        <f>(N11*P12)-(P11*N12)</f>
        <v>5</v>
      </c>
      <c r="P20" s="33">
        <f>(N11*O12)-(O11*N12)</f>
        <v>4</v>
      </c>
      <c r="Q20" s="34" t="s">
        <v>89</v>
      </c>
      <c r="R20" s="34" t="s">
        <v>53</v>
      </c>
      <c r="S20" s="34" t="s">
        <v>89</v>
      </c>
      <c r="T20" s="33">
        <f>N20*1</f>
        <v>-2</v>
      </c>
      <c r="U20" s="33">
        <f>O20*-1</f>
        <v>-5</v>
      </c>
      <c r="V20" s="33">
        <f>P20*1</f>
        <v>4</v>
      </c>
    </row>
    <row r="21" spans="1:22">
      <c r="A21">
        <v>15</v>
      </c>
      <c r="B21">
        <v>3</v>
      </c>
      <c r="C21">
        <v>2</v>
      </c>
      <c r="E21">
        <v>4</v>
      </c>
      <c r="F21">
        <v>1</v>
      </c>
      <c r="H21" s="31">
        <f t="array" ref="H21:I23">MMULT(A21:C23,E21:F23)</f>
        <v>79</v>
      </c>
      <c r="I21" s="31">
        <v>12</v>
      </c>
      <c r="J21" t="str">
        <f t="shared" ref="J21" ca="1" si="10">_xlfn.FORMULATEXT(I21)</f>
        <v>{=MMULT(A21:C23,E21:F23)}</v>
      </c>
      <c r="N21" s="33"/>
      <c r="O21" s="33"/>
      <c r="P21" s="33"/>
      <c r="Q21" s="33"/>
      <c r="R21" s="33"/>
      <c r="S21" s="33"/>
      <c r="T21" s="33"/>
      <c r="U21" s="33"/>
      <c r="V21" s="33"/>
    </row>
    <row r="22" spans="1:22">
      <c r="A22">
        <v>17</v>
      </c>
      <c r="B22">
        <v>2</v>
      </c>
      <c r="C22">
        <v>5</v>
      </c>
      <c r="E22">
        <v>3</v>
      </c>
      <c r="F22">
        <v>-1</v>
      </c>
      <c r="H22" s="31">
        <v>99</v>
      </c>
      <c r="I22" s="31">
        <v>15</v>
      </c>
      <c r="N22" s="33" t="s">
        <v>92</v>
      </c>
      <c r="O22" s="33"/>
      <c r="P22" s="33"/>
      <c r="Q22" s="33"/>
      <c r="R22" s="33"/>
      <c r="S22" s="33"/>
      <c r="T22" s="33"/>
      <c r="U22" s="33"/>
      <c r="V22" s="33"/>
    </row>
    <row r="23" spans="1:22">
      <c r="A23">
        <v>32</v>
      </c>
      <c r="B23">
        <v>5</v>
      </c>
      <c r="C23">
        <v>7</v>
      </c>
      <c r="E23">
        <v>5</v>
      </c>
      <c r="F23">
        <v>0</v>
      </c>
      <c r="H23" s="31">
        <v>178</v>
      </c>
      <c r="I23" s="31">
        <v>27</v>
      </c>
      <c r="N23" s="33">
        <f>T18</f>
        <v>-11</v>
      </c>
      <c r="O23" s="33">
        <f>T19</f>
        <v>9</v>
      </c>
      <c r="P23" s="33">
        <f>T20</f>
        <v>-2</v>
      </c>
      <c r="Q23" s="33"/>
      <c r="R23" s="33"/>
      <c r="S23" s="33"/>
      <c r="T23" s="33"/>
      <c r="U23" s="33"/>
      <c r="V23" s="33"/>
    </row>
    <row r="24" spans="1:22">
      <c r="N24" s="33">
        <f>U18</f>
        <v>5</v>
      </c>
      <c r="O24" s="33">
        <f>U19</f>
        <v>3</v>
      </c>
      <c r="P24" s="33">
        <f>U20</f>
        <v>-5</v>
      </c>
      <c r="Q24" s="33"/>
      <c r="R24" s="33"/>
      <c r="S24" s="33"/>
      <c r="T24" s="33"/>
      <c r="U24" s="33"/>
      <c r="V24" s="33"/>
    </row>
    <row r="25" spans="1:22">
      <c r="A25">
        <v>6</v>
      </c>
      <c r="B25">
        <v>2</v>
      </c>
      <c r="C25">
        <v>9</v>
      </c>
      <c r="E25">
        <v>2</v>
      </c>
      <c r="F25">
        <v>7</v>
      </c>
      <c r="H25" s="31">
        <f t="array" ref="H25:I26">MMULT(A25:C26,E25:F27)</f>
        <v>50</v>
      </c>
      <c r="I25" s="31">
        <v>38</v>
      </c>
      <c r="J25" t="str">
        <f t="shared" ref="J25" ca="1" si="11">_xlfn.FORMULATEXT(I25)</f>
        <v>{=MMULT(A25:C26,E25:F27)}</v>
      </c>
      <c r="N25" s="33">
        <f>V18</f>
        <v>-4</v>
      </c>
      <c r="O25" s="33">
        <f>V19</f>
        <v>-5</v>
      </c>
      <c r="P25" s="33">
        <f>V20</f>
        <v>4</v>
      </c>
      <c r="Q25" s="33"/>
      <c r="R25" s="33"/>
      <c r="S25" s="33"/>
      <c r="T25" s="33"/>
      <c r="U25" s="33"/>
      <c r="V25" s="33"/>
    </row>
    <row r="26" spans="1:22">
      <c r="A26">
        <v>3</v>
      </c>
      <c r="B26">
        <v>5</v>
      </c>
      <c r="C26">
        <v>0</v>
      </c>
      <c r="E26">
        <v>1</v>
      </c>
      <c r="F26">
        <v>-2</v>
      </c>
      <c r="H26" s="31">
        <v>11</v>
      </c>
      <c r="I26" s="31">
        <v>11</v>
      </c>
      <c r="N26" s="33"/>
      <c r="O26" s="33"/>
      <c r="P26" s="33"/>
      <c r="Q26" s="33"/>
      <c r="R26" s="33"/>
      <c r="S26" s="33"/>
      <c r="T26" s="33"/>
      <c r="U26" s="33"/>
      <c r="V26" s="33"/>
    </row>
    <row r="27" spans="1:22">
      <c r="E27">
        <v>4</v>
      </c>
      <c r="F27">
        <v>0</v>
      </c>
      <c r="N27" s="33" t="s">
        <v>93</v>
      </c>
      <c r="O27" s="33"/>
      <c r="P27" s="33"/>
      <c r="Q27" s="33"/>
      <c r="R27" s="33"/>
      <c r="S27" s="33"/>
      <c r="T27" s="33"/>
      <c r="U27" s="33"/>
      <c r="V27" s="33"/>
    </row>
    <row r="28" spans="1:22">
      <c r="A28" t="s">
        <v>79</v>
      </c>
      <c r="D28" t="s">
        <v>80</v>
      </c>
      <c r="N28" s="33">
        <f>MDETERM(N11:P13)</f>
        <v>-12.999999999999998</v>
      </c>
      <c r="O28" s="33"/>
      <c r="P28" s="33"/>
      <c r="Q28" s="33"/>
      <c r="R28" s="33"/>
      <c r="S28" s="33"/>
      <c r="T28" s="33"/>
      <c r="U28" s="33"/>
      <c r="V28" s="33"/>
    </row>
    <row r="29" spans="1:22">
      <c r="A29">
        <v>1</v>
      </c>
      <c r="B29">
        <v>2</v>
      </c>
      <c r="D29" s="31">
        <f t="array" ref="D29:E30">TRANSPOSE(A29:B30)</f>
        <v>1</v>
      </c>
      <c r="E29" s="31">
        <v>3</v>
      </c>
      <c r="F29" t="str">
        <f t="shared" ref="F29" ca="1" si="12">_xlfn.FORMULATEXT(E29)</f>
        <v>{=TRANSPOSE(A29:B30)}</v>
      </c>
      <c r="N29" s="33"/>
      <c r="O29" s="33"/>
      <c r="P29" s="33"/>
      <c r="Q29" s="33"/>
      <c r="R29" s="33"/>
      <c r="S29" s="33"/>
      <c r="T29" s="33"/>
      <c r="U29" s="33"/>
      <c r="V29" s="33"/>
    </row>
    <row r="30" spans="1:22">
      <c r="A30">
        <v>3</v>
      </c>
      <c r="B30">
        <v>4</v>
      </c>
      <c r="D30" s="31">
        <v>2</v>
      </c>
      <c r="E30" s="31">
        <v>4</v>
      </c>
      <c r="N30" s="33" t="s">
        <v>94</v>
      </c>
      <c r="O30" s="33"/>
      <c r="P30" s="33"/>
      <c r="Q30" s="33"/>
      <c r="R30" s="33"/>
      <c r="S30" s="33"/>
      <c r="T30" s="33"/>
      <c r="U30" s="33"/>
      <c r="V30" s="33"/>
    </row>
    <row r="31" spans="1:22">
      <c r="N31" s="33"/>
      <c r="O31" s="33"/>
      <c r="P31" s="33">
        <f t="array" ref="P31:R33">N32*(N23:P25)</f>
        <v>0.84615384615384626</v>
      </c>
      <c r="Q31" s="33">
        <v>-0.69230769230769229</v>
      </c>
      <c r="R31" s="33">
        <v>0.15384615384615385</v>
      </c>
      <c r="S31" s="33"/>
      <c r="T31" s="33"/>
      <c r="U31" s="33"/>
      <c r="V31" s="33"/>
    </row>
    <row r="32" spans="1:22">
      <c r="A32" t="s">
        <v>81</v>
      </c>
      <c r="N32" s="33">
        <f>1/N28</f>
        <v>-7.6923076923076927E-2</v>
      </c>
      <c r="O32" s="33"/>
      <c r="P32" s="33">
        <v>-0.38461538461538464</v>
      </c>
      <c r="Q32" s="33">
        <v>-0.23076923076923078</v>
      </c>
      <c r="R32" s="33">
        <v>0.38461538461538464</v>
      </c>
      <c r="S32" s="33"/>
      <c r="T32" s="33" t="s">
        <v>95</v>
      </c>
      <c r="U32" s="33"/>
      <c r="V32" s="33"/>
    </row>
    <row r="33" spans="1:22">
      <c r="A33">
        <v>2</v>
      </c>
      <c r="B33">
        <v>3</v>
      </c>
      <c r="C33">
        <v>4</v>
      </c>
      <c r="E33">
        <f>MDETERM(A33:C35)</f>
        <v>-40</v>
      </c>
      <c r="F33" t="str">
        <f t="shared" ref="F33" ca="1" si="13">_xlfn.FORMULATEXT(E33)</f>
        <v>=MDETERM(A33:C35)</v>
      </c>
      <c r="N33" s="33"/>
      <c r="O33" s="33"/>
      <c r="P33" s="33">
        <v>0.30769230769230771</v>
      </c>
      <c r="Q33" s="33">
        <v>0.38461538461538464</v>
      </c>
      <c r="R33" s="33">
        <v>-0.30769230769230771</v>
      </c>
      <c r="S33" s="33"/>
      <c r="T33" s="33"/>
      <c r="U33" s="33"/>
      <c r="V33" s="33"/>
    </row>
    <row r="34" spans="1:22">
      <c r="A34">
        <v>1</v>
      </c>
      <c r="B34">
        <v>5</v>
      </c>
      <c r="C34">
        <v>7</v>
      </c>
    </row>
    <row r="35" spans="1:22">
      <c r="A35">
        <v>8</v>
      </c>
      <c r="B35">
        <v>9</v>
      </c>
      <c r="C35">
        <v>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E2673E-CEDB-4DE7-BAE6-64903BADF408}">
  <dimension ref="A1:AF31"/>
  <sheetViews>
    <sheetView workbookViewId="0">
      <selection activeCell="A2" sqref="A2"/>
    </sheetView>
  </sheetViews>
  <sheetFormatPr defaultRowHeight="15"/>
  <sheetData>
    <row r="1" spans="1:32">
      <c r="A1" s="1" t="s">
        <v>122</v>
      </c>
      <c r="N1" t="s">
        <v>104</v>
      </c>
    </row>
    <row r="2" spans="1:32">
      <c r="A2" s="33" t="s">
        <v>90</v>
      </c>
      <c r="B2" s="33"/>
      <c r="C2" s="33"/>
      <c r="D2" s="33"/>
      <c r="E2" s="33" t="s">
        <v>98</v>
      </c>
      <c r="F2" s="33"/>
      <c r="G2" s="33"/>
      <c r="H2" s="33"/>
      <c r="I2" s="33" t="s">
        <v>99</v>
      </c>
      <c r="J2" s="33" t="s">
        <v>100</v>
      </c>
      <c r="K2" s="33"/>
      <c r="N2" s="33" t="s">
        <v>90</v>
      </c>
      <c r="O2" s="33"/>
      <c r="P2" s="33"/>
      <c r="Q2" s="33"/>
      <c r="R2" s="33" t="s">
        <v>98</v>
      </c>
      <c r="S2" s="33"/>
      <c r="T2" s="33"/>
      <c r="U2" s="33"/>
      <c r="V2" s="33" t="s">
        <v>99</v>
      </c>
      <c r="W2" s="33" t="s">
        <v>100</v>
      </c>
      <c r="X2" s="33"/>
      <c r="Z2" t="s">
        <v>90</v>
      </c>
      <c r="AC2" t="s">
        <v>102</v>
      </c>
      <c r="AE2" t="s">
        <v>103</v>
      </c>
    </row>
    <row r="3" spans="1:32">
      <c r="A3" s="33">
        <v>6</v>
      </c>
      <c r="B3" s="33">
        <v>9</v>
      </c>
      <c r="C3" s="33">
        <v>5</v>
      </c>
      <c r="D3" s="33"/>
      <c r="E3" s="33">
        <v>1</v>
      </c>
      <c r="F3" s="33">
        <v>0</v>
      </c>
      <c r="G3" s="33">
        <v>0</v>
      </c>
      <c r="H3" s="33"/>
      <c r="I3" s="36">
        <v>100</v>
      </c>
      <c r="J3" s="37">
        <f>MDETERM(A8:C10)</f>
        <v>-715275.00000000012</v>
      </c>
      <c r="K3" s="33"/>
      <c r="N3" s="33">
        <v>6</v>
      </c>
      <c r="O3" s="33">
        <v>9</v>
      </c>
      <c r="P3" s="33">
        <v>5</v>
      </c>
      <c r="Q3" s="33"/>
      <c r="R3" s="33">
        <v>1</v>
      </c>
      <c r="S3" s="33">
        <v>0</v>
      </c>
      <c r="T3" s="33">
        <v>0</v>
      </c>
      <c r="U3" s="33"/>
      <c r="V3" s="36">
        <v>27.076696845084783</v>
      </c>
      <c r="W3" s="37">
        <f>MDETERM(N8:P10)</f>
        <v>-9.8635178596157161E-6</v>
      </c>
      <c r="X3" s="33"/>
      <c r="Z3">
        <v>-1</v>
      </c>
      <c r="AA3">
        <v>2</v>
      </c>
      <c r="AC3">
        <v>1</v>
      </c>
      <c r="AE3" s="35">
        <f t="array" ref="AE3:AE4">MMULT(Z3:AA4,AC3:AC4)</f>
        <v>7</v>
      </c>
      <c r="AF3" t="str">
        <f ca="1">_xlfn.FORMULATEXT(AE3)</f>
        <v>{=MMULT(Z3:AA4,AC3:AC4)}</v>
      </c>
    </row>
    <row r="4" spans="1:32">
      <c r="A4" s="33">
        <v>9</v>
      </c>
      <c r="B4" s="33">
        <v>17</v>
      </c>
      <c r="C4" s="33">
        <v>9</v>
      </c>
      <c r="D4" s="33"/>
      <c r="E4" s="33">
        <v>0</v>
      </c>
      <c r="F4" s="33">
        <v>1</v>
      </c>
      <c r="G4" s="33">
        <v>0</v>
      </c>
      <c r="H4" s="33"/>
      <c r="I4" s="36"/>
      <c r="J4" s="37" t="str">
        <f ca="1">_xlfn.FORMULATEXT(J3)</f>
        <v>=MDETERM(A8:C10)</v>
      </c>
      <c r="K4" s="33"/>
      <c r="N4" s="33">
        <v>9</v>
      </c>
      <c r="O4" s="33">
        <v>17</v>
      </c>
      <c r="P4" s="33">
        <v>9</v>
      </c>
      <c r="Q4" s="33"/>
      <c r="R4" s="33">
        <v>0</v>
      </c>
      <c r="S4" s="33">
        <v>1</v>
      </c>
      <c r="T4" s="33">
        <v>0</v>
      </c>
      <c r="U4" s="33"/>
      <c r="V4" s="36"/>
      <c r="W4" s="37" t="str">
        <f ca="1">_xlfn.FORMULATEXT(W3)</f>
        <v>=MDETERM(N8:P10)</v>
      </c>
      <c r="X4" s="33"/>
      <c r="Z4">
        <v>4</v>
      </c>
      <c r="AA4">
        <v>6</v>
      </c>
      <c r="AC4">
        <v>4</v>
      </c>
      <c r="AE4" s="35">
        <v>28</v>
      </c>
    </row>
    <row r="5" spans="1:32">
      <c r="A5" s="33">
        <v>5</v>
      </c>
      <c r="B5" s="33">
        <v>9</v>
      </c>
      <c r="C5" s="33">
        <v>6</v>
      </c>
      <c r="D5" s="33"/>
      <c r="E5" s="33">
        <v>0</v>
      </c>
      <c r="F5" s="33">
        <v>0</v>
      </c>
      <c r="G5" s="33">
        <v>1</v>
      </c>
      <c r="H5" s="33"/>
      <c r="I5" s="36"/>
      <c r="J5" s="38"/>
      <c r="K5" s="33"/>
      <c r="N5" s="33">
        <v>5</v>
      </c>
      <c r="O5" s="33">
        <v>9</v>
      </c>
      <c r="P5" s="33">
        <v>6</v>
      </c>
      <c r="Q5" s="33"/>
      <c r="R5" s="33">
        <v>0</v>
      </c>
      <c r="S5" s="33">
        <v>0</v>
      </c>
      <c r="T5" s="33">
        <v>1</v>
      </c>
      <c r="U5" s="33"/>
      <c r="V5" s="36"/>
      <c r="W5" s="38"/>
      <c r="X5" s="33"/>
    </row>
    <row r="6" spans="1:32">
      <c r="A6" s="33"/>
      <c r="B6" s="33"/>
      <c r="C6" s="33"/>
      <c r="D6" s="33"/>
      <c r="E6" s="33"/>
      <c r="F6" s="33"/>
      <c r="G6" s="33"/>
      <c r="H6" s="33"/>
      <c r="I6" s="33"/>
      <c r="J6" s="33"/>
      <c r="K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</row>
    <row r="7" spans="1:32">
      <c r="A7" s="33" t="s">
        <v>101</v>
      </c>
      <c r="B7" s="33"/>
      <c r="C7" s="33"/>
      <c r="D7" s="33"/>
      <c r="E7" s="33"/>
      <c r="F7" s="33"/>
      <c r="G7" s="33"/>
      <c r="H7" s="33"/>
      <c r="I7" s="33"/>
      <c r="J7" s="33"/>
      <c r="K7" s="33"/>
      <c r="N7" s="33" t="s">
        <v>101</v>
      </c>
      <c r="O7" s="33"/>
      <c r="P7" s="33"/>
      <c r="Q7" s="33"/>
      <c r="R7" s="33"/>
      <c r="S7" s="33"/>
      <c r="T7" s="33"/>
      <c r="U7" s="33"/>
      <c r="V7" s="33"/>
      <c r="W7" s="33"/>
      <c r="X7" s="33"/>
    </row>
    <row r="8" spans="1:32">
      <c r="A8" s="33">
        <f t="array" ref="A8:C10">A3:C5-I3*E3:G5</f>
        <v>-94</v>
      </c>
      <c r="B8" s="33">
        <v>9</v>
      </c>
      <c r="C8" s="33">
        <v>5</v>
      </c>
      <c r="D8" s="33" t="str">
        <f ca="1">_xlfn.FORMULATEXT(C8)</f>
        <v>{=A3:C5-I3*E3:G5}</v>
      </c>
      <c r="E8" s="33"/>
      <c r="F8" s="33"/>
      <c r="G8" s="33"/>
      <c r="H8" s="33"/>
      <c r="I8" s="33"/>
      <c r="J8" s="33"/>
      <c r="K8" s="33"/>
      <c r="N8" s="33">
        <f t="array" ref="N8:P10">N3:P5-V3*R3:T5</f>
        <v>-21.076696845084783</v>
      </c>
      <c r="O8" s="33">
        <v>9</v>
      </c>
      <c r="P8" s="33">
        <v>5</v>
      </c>
      <c r="Q8" s="33" t="str">
        <f ca="1">_xlfn.FORMULATEXT(P8)</f>
        <v>{=N3:P5-V3*R3:T5}</v>
      </c>
      <c r="R8" s="33"/>
      <c r="S8" s="33"/>
      <c r="T8" s="33"/>
      <c r="U8" s="33"/>
      <c r="V8" s="33"/>
      <c r="W8" s="33"/>
      <c r="X8" s="33"/>
    </row>
    <row r="9" spans="1:32">
      <c r="A9" s="33">
        <v>9</v>
      </c>
      <c r="B9" s="33">
        <v>-83</v>
      </c>
      <c r="C9" s="33">
        <v>9</v>
      </c>
      <c r="D9" s="33"/>
      <c r="E9" s="33"/>
      <c r="F9" s="33"/>
      <c r="G9" s="33"/>
      <c r="H9" s="33"/>
      <c r="I9" s="33"/>
      <c r="J9" s="33"/>
      <c r="K9" s="33"/>
      <c r="N9" s="33">
        <v>9</v>
      </c>
      <c r="O9" s="33">
        <v>-10.076696845084783</v>
      </c>
      <c r="P9" s="33">
        <v>9</v>
      </c>
      <c r="Q9" s="33"/>
      <c r="R9" s="33"/>
      <c r="S9" s="33"/>
      <c r="T9" s="33"/>
      <c r="U9" s="33"/>
      <c r="V9" s="33"/>
      <c r="W9" s="33"/>
      <c r="X9" s="33"/>
    </row>
    <row r="10" spans="1:32">
      <c r="A10" s="33">
        <v>5</v>
      </c>
      <c r="B10" s="33">
        <v>9</v>
      </c>
      <c r="C10" s="33">
        <v>-94</v>
      </c>
      <c r="D10" s="33"/>
      <c r="E10" s="33"/>
      <c r="F10" s="33"/>
      <c r="G10" s="33"/>
      <c r="H10" s="33"/>
      <c r="I10" s="33"/>
      <c r="J10" s="33"/>
      <c r="K10" s="33"/>
      <c r="N10" s="33">
        <v>5</v>
      </c>
      <c r="O10" s="33">
        <v>9</v>
      </c>
      <c r="P10" s="33">
        <v>-21.076696845084783</v>
      </c>
      <c r="Q10" s="33"/>
      <c r="R10" s="33"/>
      <c r="S10" s="33"/>
      <c r="T10" s="33"/>
      <c r="U10" s="33"/>
      <c r="V10" s="33"/>
      <c r="W10" s="33"/>
      <c r="X10" s="33"/>
    </row>
    <row r="13" spans="1:32">
      <c r="A13" s="39" t="s">
        <v>90</v>
      </c>
      <c r="B13" s="39"/>
      <c r="C13" s="39"/>
      <c r="D13" s="39"/>
      <c r="E13" s="39" t="s">
        <v>98</v>
      </c>
      <c r="F13" s="39"/>
      <c r="G13" s="39"/>
      <c r="H13" s="39"/>
      <c r="I13" s="39" t="s">
        <v>99</v>
      </c>
      <c r="J13" s="39" t="s">
        <v>100</v>
      </c>
      <c r="K13" s="39"/>
      <c r="L13" s="39"/>
    </row>
    <row r="14" spans="1:32">
      <c r="A14" s="39">
        <v>6</v>
      </c>
      <c r="B14" s="39">
        <v>9</v>
      </c>
      <c r="C14" s="39">
        <v>5</v>
      </c>
      <c r="D14" s="39"/>
      <c r="E14" s="39">
        <v>1</v>
      </c>
      <c r="F14" s="39">
        <v>0</v>
      </c>
      <c r="G14" s="39">
        <v>0</v>
      </c>
      <c r="H14" s="39"/>
      <c r="I14" s="39">
        <v>0.9232224901659416</v>
      </c>
      <c r="J14" s="40">
        <f>MDETERM(A19:C21)</f>
        <v>1.6200374751358898E-4</v>
      </c>
      <c r="K14" s="39" t="str">
        <f t="shared" ref="K14:K16" ca="1" si="0">_xlfn.FORMULATEXT(J14)</f>
        <v>=MDETERM(A19:C21)</v>
      </c>
      <c r="L14" s="39"/>
    </row>
    <row r="15" spans="1:32">
      <c r="A15" s="39">
        <v>9</v>
      </c>
      <c r="B15" s="39">
        <v>17</v>
      </c>
      <c r="C15" s="39">
        <v>9</v>
      </c>
      <c r="D15" s="39"/>
      <c r="E15" s="39">
        <v>0</v>
      </c>
      <c r="F15" s="39">
        <v>1</v>
      </c>
      <c r="G15" s="39">
        <v>0</v>
      </c>
      <c r="H15" s="39"/>
      <c r="I15" s="39">
        <v>1.0000574738867991</v>
      </c>
      <c r="J15" s="40">
        <f>MDETERM(A24:C26)</f>
        <v>1.1503365784851406E-4</v>
      </c>
      <c r="K15" s="39" t="str">
        <f t="shared" ca="1" si="0"/>
        <v>=MDETERM(A24:C26)</v>
      </c>
      <c r="L15" s="39"/>
    </row>
    <row r="16" spans="1:32">
      <c r="A16" s="39">
        <v>5</v>
      </c>
      <c r="B16" s="39">
        <v>9</v>
      </c>
      <c r="C16" s="39">
        <v>6</v>
      </c>
      <c r="D16" s="39"/>
      <c r="E16" s="39">
        <v>0</v>
      </c>
      <c r="F16" s="39">
        <v>0</v>
      </c>
      <c r="G16" s="39">
        <v>1</v>
      </c>
      <c r="H16" s="39"/>
      <c r="I16" s="39">
        <v>27.076696831219362</v>
      </c>
      <c r="J16" s="40">
        <f>MDETERM(A29:C31)</f>
        <v>-4.0738307361763548E-7</v>
      </c>
      <c r="K16" s="39" t="str">
        <f t="shared" ca="1" si="0"/>
        <v>=MDETERM(A29:C31)</v>
      </c>
      <c r="L16" s="39"/>
    </row>
    <row r="17" spans="1:12">
      <c r="A17" s="39"/>
      <c r="B17" s="39"/>
      <c r="C17" s="39"/>
      <c r="D17" s="39"/>
      <c r="E17" s="39"/>
      <c r="F17" s="39"/>
      <c r="G17" s="39"/>
      <c r="H17" s="39"/>
      <c r="I17" s="39"/>
      <c r="J17" s="39"/>
      <c r="K17" s="39"/>
      <c r="L17" s="39"/>
    </row>
    <row r="18" spans="1:12">
      <c r="A18" s="39" t="s">
        <v>101</v>
      </c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</row>
    <row r="19" spans="1:12">
      <c r="A19" s="39">
        <f t="array" ref="A19:C21">A14:C16-I14*E14:G16</f>
        <v>5.0767775098340584</v>
      </c>
      <c r="B19" s="39">
        <v>9</v>
      </c>
      <c r="C19" s="39">
        <v>5</v>
      </c>
      <c r="D19" s="39" t="str">
        <f ca="1">_xlfn.FORMULATEXT(C19)</f>
        <v>{=A14:C16-I14*E14:G16}</v>
      </c>
      <c r="E19" s="39"/>
      <c r="F19" s="39"/>
      <c r="G19" s="39"/>
      <c r="H19" s="39"/>
      <c r="I19" s="39"/>
      <c r="J19" s="39"/>
      <c r="K19" s="39"/>
      <c r="L19" s="39"/>
    </row>
    <row r="20" spans="1:12">
      <c r="A20" s="39">
        <v>9</v>
      </c>
      <c r="B20" s="39">
        <v>16.076777509834059</v>
      </c>
      <c r="C20" s="39">
        <v>9</v>
      </c>
      <c r="D20" s="39"/>
      <c r="E20" s="39"/>
      <c r="F20" s="39"/>
      <c r="G20" s="39"/>
      <c r="H20" s="39"/>
      <c r="I20" s="39"/>
      <c r="J20" s="39"/>
      <c r="K20" s="39"/>
      <c r="L20" s="39"/>
    </row>
    <row r="21" spans="1:12">
      <c r="A21" s="39">
        <v>5</v>
      </c>
      <c r="B21" s="39">
        <v>9</v>
      </c>
      <c r="C21" s="39">
        <v>5.0767775098340584</v>
      </c>
      <c r="D21" s="39"/>
      <c r="E21" s="39"/>
      <c r="F21" s="39"/>
      <c r="G21" s="39"/>
      <c r="H21" s="39"/>
      <c r="I21" s="39"/>
      <c r="J21" s="39"/>
      <c r="K21" s="39"/>
      <c r="L21" s="39"/>
    </row>
    <row r="22" spans="1:12">
      <c r="A22" s="39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</row>
    <row r="23" spans="1:12">
      <c r="A23" s="39" t="s">
        <v>101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</row>
    <row r="24" spans="1:12">
      <c r="A24" s="39">
        <f t="array" ref="A24:C26">A14:C16-I15*E14:G16</f>
        <v>4.9999425261132009</v>
      </c>
      <c r="B24" s="39">
        <v>9</v>
      </c>
      <c r="C24" s="39">
        <v>5</v>
      </c>
      <c r="D24" s="39" t="str">
        <f ca="1">_xlfn.FORMULATEXT(C24)</f>
        <v>{=A14:C16-I15*E14:G16}</v>
      </c>
      <c r="E24" s="39"/>
      <c r="F24" s="39"/>
      <c r="G24" s="39"/>
      <c r="H24" s="39"/>
      <c r="I24" s="39"/>
      <c r="J24" s="39"/>
      <c r="K24" s="39"/>
      <c r="L24" s="39"/>
    </row>
    <row r="25" spans="1:12">
      <c r="A25" s="39">
        <v>9</v>
      </c>
      <c r="B25" s="39">
        <v>15.999942526113202</v>
      </c>
      <c r="C25" s="39">
        <v>9</v>
      </c>
      <c r="D25" s="39"/>
      <c r="E25" s="39"/>
      <c r="F25" s="39"/>
      <c r="G25" s="39"/>
      <c r="H25" s="39"/>
      <c r="I25" s="39"/>
      <c r="J25" s="39"/>
      <c r="K25" s="39"/>
      <c r="L25" s="39"/>
    </row>
    <row r="26" spans="1:12">
      <c r="A26" s="39">
        <v>5</v>
      </c>
      <c r="B26" s="39">
        <v>9</v>
      </c>
      <c r="C26" s="39">
        <v>4.9999425261132009</v>
      </c>
      <c r="D26" s="39"/>
      <c r="E26" s="39"/>
      <c r="F26" s="39"/>
      <c r="G26" s="39"/>
      <c r="H26" s="39"/>
      <c r="I26" s="39"/>
      <c r="J26" s="39"/>
      <c r="K26" s="39"/>
      <c r="L26" s="39"/>
    </row>
    <row r="27" spans="1:1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</row>
    <row r="28" spans="1:12">
      <c r="A28" s="39" t="s">
        <v>101</v>
      </c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</row>
    <row r="29" spans="1:12">
      <c r="A29" s="39">
        <f t="array" ref="A29:C31">A14:C16-I16*E14:G16</f>
        <v>-21.076696831219362</v>
      </c>
      <c r="B29" s="39">
        <v>9</v>
      </c>
      <c r="C29" s="39">
        <v>5</v>
      </c>
      <c r="D29" s="39" t="str">
        <f ca="1">_xlfn.FORMULATEXT(C29)</f>
        <v>{=A14:C16-I16*E14:G16}</v>
      </c>
      <c r="E29" s="39"/>
      <c r="F29" s="39"/>
      <c r="G29" s="39"/>
      <c r="H29" s="39"/>
      <c r="I29" s="39"/>
      <c r="J29" s="39"/>
      <c r="K29" s="39"/>
      <c r="L29" s="39"/>
    </row>
    <row r="30" spans="1:12">
      <c r="A30" s="39">
        <v>9</v>
      </c>
      <c r="B30" s="39">
        <v>-10.076696831219362</v>
      </c>
      <c r="C30" s="39">
        <v>9</v>
      </c>
      <c r="D30" s="39"/>
      <c r="E30" s="39"/>
      <c r="F30" s="39"/>
      <c r="G30" s="39"/>
      <c r="H30" s="39"/>
      <c r="I30" s="39"/>
      <c r="J30" s="39"/>
      <c r="K30" s="39"/>
      <c r="L30" s="39"/>
    </row>
    <row r="31" spans="1:12">
      <c r="A31" s="39">
        <v>5</v>
      </c>
      <c r="B31" s="39">
        <v>9</v>
      </c>
      <c r="C31" s="39">
        <v>-21.076696831219362</v>
      </c>
      <c r="D31" s="39"/>
      <c r="E31" s="39"/>
      <c r="F31" s="39"/>
      <c r="G31" s="39"/>
      <c r="H31" s="39"/>
      <c r="I31" s="39"/>
      <c r="J31" s="39"/>
      <c r="K31" s="39"/>
      <c r="L31" s="39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042F55-77DE-4A54-8D28-8D0A08956937}">
  <dimension ref="A1:Y130"/>
  <sheetViews>
    <sheetView workbookViewId="0">
      <selection activeCell="R1" sqref="R1"/>
    </sheetView>
  </sheetViews>
  <sheetFormatPr defaultRowHeight="15"/>
  <cols>
    <col min="14" max="14" width="39.5703125" customWidth="1"/>
  </cols>
  <sheetData>
    <row r="1" spans="1:25" ht="17.25">
      <c r="A1" s="1" t="s">
        <v>796</v>
      </c>
      <c r="O1" s="50"/>
      <c r="P1" s="50"/>
      <c r="S1" s="50">
        <v>128</v>
      </c>
      <c r="T1" s="50" t="s">
        <v>665</v>
      </c>
      <c r="U1" s="50"/>
      <c r="V1" s="50"/>
      <c r="W1" s="50"/>
      <c r="X1" s="50"/>
      <c r="Y1" s="50"/>
    </row>
    <row r="2" spans="1:25">
      <c r="A2" s="51" t="s">
        <v>123</v>
      </c>
      <c r="B2" s="52"/>
      <c r="C2" s="51" t="s">
        <v>124</v>
      </c>
      <c r="D2" s="52"/>
      <c r="E2" s="52"/>
      <c r="F2" s="52"/>
      <c r="G2" s="52"/>
      <c r="H2" s="51" t="s">
        <v>125</v>
      </c>
      <c r="I2" s="52"/>
      <c r="L2" s="50" t="s">
        <v>794</v>
      </c>
      <c r="O2" s="50"/>
      <c r="P2" s="50"/>
      <c r="Q2" s="50"/>
      <c r="R2" s="50"/>
      <c r="S2" s="54">
        <v>128</v>
      </c>
      <c r="T2" s="50" t="s">
        <v>662</v>
      </c>
      <c r="U2" s="50"/>
      <c r="V2" s="50"/>
      <c r="W2" s="50"/>
      <c r="X2" s="50"/>
      <c r="Y2" s="50"/>
    </row>
    <row r="3" spans="1:25">
      <c r="A3" s="52">
        <v>0.53679886440146163</v>
      </c>
      <c r="B3" s="52"/>
      <c r="C3" s="52" t="s">
        <v>126</v>
      </c>
      <c r="D3" s="52"/>
      <c r="E3" s="52"/>
      <c r="F3" s="52"/>
      <c r="G3" s="52"/>
      <c r="H3" s="52" t="s">
        <v>127</v>
      </c>
      <c r="I3" s="52"/>
      <c r="L3" s="50">
        <v>6.5</v>
      </c>
      <c r="M3" s="50"/>
      <c r="N3" s="50" t="s">
        <v>795</v>
      </c>
      <c r="O3" s="50">
        <f>2*IMABS(N3)/$S$1</f>
        <v>20.270312499999999</v>
      </c>
      <c r="P3" s="50">
        <v>0</v>
      </c>
      <c r="Q3" s="54">
        <f>O3^2/2</f>
        <v>205.4427844238281</v>
      </c>
      <c r="R3" s="54"/>
      <c r="S3" s="50">
        <f>S2/(2*S2)</f>
        <v>0.5</v>
      </c>
      <c r="T3" s="50" t="s">
        <v>664</v>
      </c>
      <c r="U3" s="50"/>
      <c r="V3" s="50"/>
      <c r="W3" s="50"/>
      <c r="X3" s="50"/>
      <c r="Y3" s="50"/>
    </row>
    <row r="4" spans="1:25">
      <c r="A4" s="52">
        <v>1.01982762642818</v>
      </c>
      <c r="B4" s="52"/>
      <c r="C4" s="52" t="s">
        <v>128</v>
      </c>
      <c r="D4" s="52"/>
      <c r="E4" s="52"/>
      <c r="F4" s="52"/>
      <c r="G4" s="52"/>
      <c r="H4" s="52" t="s">
        <v>129</v>
      </c>
      <c r="I4" s="52"/>
      <c r="L4" s="50">
        <v>7.3</v>
      </c>
      <c r="M4" s="50"/>
      <c r="N4" s="50" t="s">
        <v>793</v>
      </c>
      <c r="O4" s="50">
        <f>2*IMABS(N4)/$S$1</f>
        <v>0.37683416078006621</v>
      </c>
      <c r="P4" s="50">
        <f>S4</f>
        <v>7.8125E-3</v>
      </c>
      <c r="Q4" s="50">
        <f>O4^2</f>
        <v>0.1420039847308168</v>
      </c>
      <c r="R4" s="50"/>
      <c r="S4" s="54">
        <f>(2*S3)/S2</f>
        <v>7.8125E-3</v>
      </c>
      <c r="T4" s="50" t="s">
        <v>661</v>
      </c>
      <c r="U4" s="50"/>
      <c r="V4" s="50"/>
      <c r="W4" s="50"/>
      <c r="X4" s="50"/>
      <c r="Y4" s="50"/>
    </row>
    <row r="5" spans="1:25">
      <c r="A5" s="52">
        <v>0.55340584674810955</v>
      </c>
      <c r="B5" s="52"/>
      <c r="C5" s="52" t="s">
        <v>130</v>
      </c>
      <c r="D5" s="52"/>
      <c r="E5" s="52"/>
      <c r="F5" s="52"/>
      <c r="G5" s="52"/>
      <c r="H5" s="52" t="s">
        <v>131</v>
      </c>
      <c r="I5" s="52"/>
      <c r="L5" s="50">
        <v>8.3000000000000007</v>
      </c>
      <c r="M5" s="50"/>
      <c r="N5" s="50" t="s">
        <v>792</v>
      </c>
      <c r="O5" s="50">
        <f t="shared" ref="O5:O68" si="0">2*IMABS(N5)/$S$1</f>
        <v>0.21256240123619888</v>
      </c>
      <c r="P5" s="50">
        <f>P4+$S$4</f>
        <v>1.5625E-2</v>
      </c>
      <c r="Q5" s="50">
        <f t="shared" ref="Q5:Q67" si="1">O5^2</f>
        <v>4.5182774419298799E-2</v>
      </c>
      <c r="R5" s="50"/>
      <c r="S5" s="50"/>
      <c r="T5" s="50"/>
      <c r="U5" s="50"/>
      <c r="V5" s="50"/>
      <c r="W5" s="50"/>
      <c r="X5" s="50"/>
      <c r="Y5" s="50"/>
    </row>
    <row r="6" spans="1:25">
      <c r="A6" s="52">
        <v>0.16638013350276193</v>
      </c>
      <c r="B6" s="52"/>
      <c r="C6" s="52" t="s">
        <v>132</v>
      </c>
      <c r="D6" s="52"/>
      <c r="E6" s="52"/>
      <c r="F6" s="52"/>
      <c r="G6" s="52"/>
      <c r="H6" s="52" t="s">
        <v>133</v>
      </c>
      <c r="I6" s="52"/>
      <c r="L6" s="50">
        <v>8</v>
      </c>
      <c r="M6" s="50"/>
      <c r="N6" s="50" t="s">
        <v>791</v>
      </c>
      <c r="O6" s="50">
        <f t="shared" si="0"/>
        <v>0.20669168032555718</v>
      </c>
      <c r="P6" s="50">
        <f t="shared" ref="P6:P67" si="2">P5+$S$4</f>
        <v>2.34375E-2</v>
      </c>
      <c r="Q6" s="50">
        <f t="shared" si="1"/>
        <v>4.2721450715802321E-2</v>
      </c>
      <c r="R6" s="50"/>
      <c r="S6" s="50"/>
      <c r="T6" s="50"/>
      <c r="U6" s="50"/>
      <c r="V6" s="50"/>
      <c r="W6" s="50"/>
      <c r="X6" s="50"/>
      <c r="Y6" s="50"/>
    </row>
    <row r="7" spans="1:25">
      <c r="A7" s="52">
        <v>0.3981773509437414</v>
      </c>
      <c r="B7" s="52"/>
      <c r="C7" s="52" t="s">
        <v>134</v>
      </c>
      <c r="D7" s="52"/>
      <c r="E7" s="52"/>
      <c r="F7" s="52"/>
      <c r="G7" s="52"/>
      <c r="H7" s="52" t="s">
        <v>135</v>
      </c>
      <c r="I7" s="52"/>
      <c r="L7" s="50">
        <v>12.6</v>
      </c>
      <c r="M7" s="50"/>
      <c r="N7" s="50" t="s">
        <v>790</v>
      </c>
      <c r="O7" s="50">
        <f t="shared" si="0"/>
        <v>0.5844886465098279</v>
      </c>
      <c r="P7" s="50">
        <f t="shared" si="2"/>
        <v>3.125E-2</v>
      </c>
      <c r="Q7" s="50">
        <f t="shared" si="1"/>
        <v>0.34162697789889057</v>
      </c>
      <c r="R7" s="50"/>
      <c r="S7" s="50"/>
      <c r="T7" s="50"/>
      <c r="U7" s="50"/>
      <c r="V7" s="50"/>
      <c r="W7" s="50"/>
      <c r="X7" s="50"/>
      <c r="Y7" s="50"/>
    </row>
    <row r="8" spans="1:25">
      <c r="A8" s="52">
        <v>8.9976838803164982E-2</v>
      </c>
      <c r="B8" s="52"/>
      <c r="C8" s="52" t="s">
        <v>136</v>
      </c>
      <c r="D8" s="52"/>
      <c r="E8" s="52"/>
      <c r="F8" s="52"/>
      <c r="G8" s="52"/>
      <c r="H8" s="52" t="s">
        <v>137</v>
      </c>
      <c r="I8" s="52"/>
      <c r="L8" s="50">
        <v>13.6</v>
      </c>
      <c r="M8" s="50"/>
      <c r="N8" s="50" t="s">
        <v>789</v>
      </c>
      <c r="O8" s="50">
        <f t="shared" si="0"/>
        <v>0.29646400077216961</v>
      </c>
      <c r="P8" s="50">
        <f t="shared" si="2"/>
        <v>3.90625E-2</v>
      </c>
      <c r="Q8" s="50">
        <f t="shared" si="1"/>
        <v>8.7890903753840982E-2</v>
      </c>
      <c r="R8" s="50"/>
      <c r="S8" s="50"/>
      <c r="T8" s="50"/>
      <c r="U8" s="50"/>
      <c r="V8" s="50"/>
      <c r="W8" s="50"/>
      <c r="X8" s="50"/>
      <c r="Y8" s="50"/>
    </row>
    <row r="9" spans="1:25">
      <c r="A9" s="52">
        <v>0.4640741062021303</v>
      </c>
      <c r="B9" s="52"/>
      <c r="C9" s="52" t="s">
        <v>138</v>
      </c>
      <c r="D9" s="52"/>
      <c r="E9" s="52"/>
      <c r="F9" s="52"/>
      <c r="G9" s="52"/>
      <c r="H9" s="52" t="s">
        <v>139</v>
      </c>
      <c r="I9" s="52"/>
      <c r="L9" s="50">
        <v>16.899999999999999</v>
      </c>
      <c r="M9" s="50"/>
      <c r="N9" s="50" t="s">
        <v>788</v>
      </c>
      <c r="O9" s="50">
        <f t="shared" si="0"/>
        <v>0.48861333272414859</v>
      </c>
      <c r="P9" s="50">
        <f t="shared" si="2"/>
        <v>4.6875E-2</v>
      </c>
      <c r="Q9" s="50">
        <f t="shared" si="1"/>
        <v>0.23874298891579954</v>
      </c>
      <c r="R9" s="50"/>
      <c r="S9" s="50"/>
      <c r="T9" s="50"/>
      <c r="U9" s="50"/>
      <c r="V9" s="50"/>
      <c r="W9" s="50"/>
      <c r="X9" s="50"/>
      <c r="Y9" s="50"/>
    </row>
    <row r="10" spans="1:25">
      <c r="A10" s="52">
        <v>0.68466423144050159</v>
      </c>
      <c r="B10" s="52"/>
      <c r="C10" s="52" t="s">
        <v>140</v>
      </c>
      <c r="D10" s="52"/>
      <c r="E10" s="52"/>
      <c r="F10" s="52"/>
      <c r="G10" s="52"/>
      <c r="H10" s="52" t="s">
        <v>141</v>
      </c>
      <c r="I10" s="52"/>
      <c r="L10" s="50">
        <v>18</v>
      </c>
      <c r="M10" s="50"/>
      <c r="N10" s="50" t="s">
        <v>787</v>
      </c>
      <c r="O10" s="50">
        <f t="shared" si="0"/>
        <v>0.55574006516490515</v>
      </c>
      <c r="P10" s="50">
        <f t="shared" si="2"/>
        <v>5.46875E-2</v>
      </c>
      <c r="Q10" s="50">
        <f t="shared" si="1"/>
        <v>0.30884702002949305</v>
      </c>
      <c r="R10" s="50"/>
      <c r="S10" s="50"/>
      <c r="T10" s="50"/>
      <c r="U10" s="50"/>
      <c r="V10" s="50"/>
      <c r="W10" s="50"/>
      <c r="X10" s="50"/>
      <c r="Y10" s="50"/>
    </row>
    <row r="11" spans="1:25">
      <c r="L11" s="50">
        <v>13.2</v>
      </c>
      <c r="M11" s="50"/>
      <c r="N11" s="50" t="s">
        <v>786</v>
      </c>
      <c r="O11" s="50">
        <f t="shared" si="0"/>
        <v>0.73874770473057516</v>
      </c>
      <c r="P11" s="50">
        <f t="shared" si="2"/>
        <v>6.25E-2</v>
      </c>
      <c r="Q11" s="50">
        <f t="shared" si="1"/>
        <v>0.5457481712446931</v>
      </c>
      <c r="R11" s="50"/>
      <c r="S11" s="50"/>
      <c r="T11" s="50"/>
      <c r="U11" s="50"/>
      <c r="V11" s="50"/>
      <c r="W11" s="50"/>
      <c r="X11" s="50"/>
      <c r="Y11" s="50"/>
    </row>
    <row r="12" spans="1:25">
      <c r="L12" s="50">
        <v>11.9</v>
      </c>
      <c r="M12" s="50"/>
      <c r="N12" s="50" t="s">
        <v>785</v>
      </c>
      <c r="O12" s="50">
        <f t="shared" si="0"/>
        <v>0.65534689655612621</v>
      </c>
      <c r="P12" s="50">
        <f t="shared" si="2"/>
        <v>7.03125E-2</v>
      </c>
      <c r="Q12" s="50">
        <f t="shared" si="1"/>
        <v>0.42947955482574601</v>
      </c>
      <c r="R12" s="50"/>
      <c r="S12" s="50"/>
      <c r="T12" s="50"/>
      <c r="U12" s="50"/>
      <c r="V12" s="50"/>
      <c r="W12" s="50"/>
      <c r="X12" s="50"/>
      <c r="Y12" s="50"/>
    </row>
    <row r="13" spans="1:25">
      <c r="L13" s="50">
        <v>6.9</v>
      </c>
      <c r="M13" s="50"/>
      <c r="N13" s="50" t="s">
        <v>784</v>
      </c>
      <c r="O13" s="50">
        <f t="shared" si="0"/>
        <v>2.6172306588406968</v>
      </c>
      <c r="P13" s="50">
        <f t="shared" si="2"/>
        <v>7.8125E-2</v>
      </c>
      <c r="Q13" s="50">
        <f t="shared" si="1"/>
        <v>6.8498963215757076</v>
      </c>
      <c r="R13" s="50"/>
      <c r="S13" s="50"/>
      <c r="T13" s="50"/>
      <c r="U13" s="50"/>
      <c r="V13" s="50"/>
      <c r="W13" s="50"/>
      <c r="X13" s="50"/>
      <c r="Y13" s="50"/>
    </row>
    <row r="14" spans="1:25">
      <c r="L14" s="50">
        <v>4.3</v>
      </c>
      <c r="M14" s="50"/>
      <c r="N14" s="50" t="s">
        <v>783</v>
      </c>
      <c r="O14" s="50">
        <f t="shared" si="0"/>
        <v>5.0535387270762175</v>
      </c>
      <c r="P14" s="50">
        <f t="shared" si="2"/>
        <v>8.59375E-2</v>
      </c>
      <c r="Q14" s="50">
        <f t="shared" si="1"/>
        <v>25.538253666059116</v>
      </c>
      <c r="R14" s="50">
        <f>1/P14</f>
        <v>11.636363636363637</v>
      </c>
      <c r="S14" s="50"/>
      <c r="T14" s="50"/>
      <c r="U14" s="50"/>
      <c r="V14" s="50"/>
      <c r="W14" s="50"/>
      <c r="X14" s="50"/>
      <c r="Y14" s="50"/>
    </row>
    <row r="15" spans="1:25">
      <c r="L15" s="50">
        <v>3.3</v>
      </c>
      <c r="M15" s="50"/>
      <c r="N15" s="55" t="s">
        <v>782</v>
      </c>
      <c r="O15" s="50">
        <f t="shared" si="0"/>
        <v>1.3856847166615134</v>
      </c>
      <c r="P15" s="50">
        <f t="shared" si="2"/>
        <v>9.375E-2</v>
      </c>
      <c r="Q15" s="50">
        <f t="shared" si="1"/>
        <v>1.9201221339892987</v>
      </c>
      <c r="R15" s="50"/>
      <c r="S15" s="50"/>
      <c r="T15" s="50"/>
      <c r="U15" s="50"/>
      <c r="V15" s="50"/>
      <c r="W15" s="50"/>
      <c r="X15" s="50"/>
      <c r="Y15" s="50"/>
    </row>
    <row r="16" spans="1:25">
      <c r="L16" s="50">
        <v>1.5</v>
      </c>
      <c r="M16" s="50"/>
      <c r="N16" s="50" t="s">
        <v>781</v>
      </c>
      <c r="O16" s="50">
        <f t="shared" si="0"/>
        <v>1.0303353869931353</v>
      </c>
      <c r="P16" s="50">
        <f t="shared" si="2"/>
        <v>0.1015625</v>
      </c>
      <c r="Q16" s="50">
        <f t="shared" si="1"/>
        <v>1.0615910096902939</v>
      </c>
      <c r="R16" s="50"/>
      <c r="S16" s="50"/>
      <c r="T16" s="50"/>
      <c r="U16" s="50"/>
      <c r="V16" s="50"/>
      <c r="W16" s="50"/>
      <c r="X16" s="50"/>
      <c r="Y16" s="50"/>
    </row>
    <row r="17" spans="12:25">
      <c r="L17" s="50">
        <v>7.9</v>
      </c>
      <c r="M17" s="50"/>
      <c r="N17" s="50" t="s">
        <v>780</v>
      </c>
      <c r="O17" s="50">
        <f t="shared" si="0"/>
        <v>0.43270671458572119</v>
      </c>
      <c r="P17" s="50">
        <f t="shared" si="2"/>
        <v>0.109375</v>
      </c>
      <c r="Q17" s="50">
        <f t="shared" si="1"/>
        <v>0.18723510084756878</v>
      </c>
      <c r="R17" s="50"/>
      <c r="S17" s="50"/>
      <c r="T17" s="50"/>
      <c r="U17" s="50"/>
      <c r="V17" s="50"/>
      <c r="W17" s="50"/>
      <c r="X17" s="50"/>
      <c r="Y17" s="50"/>
    </row>
    <row r="18" spans="12:25">
      <c r="L18" s="50">
        <v>7.9</v>
      </c>
      <c r="M18" s="50"/>
      <c r="N18" s="50" t="s">
        <v>779</v>
      </c>
      <c r="O18" s="50">
        <f t="shared" si="0"/>
        <v>0.26649702343262838</v>
      </c>
      <c r="P18" s="50">
        <f t="shared" si="2"/>
        <v>0.1171875</v>
      </c>
      <c r="Q18" s="50">
        <f t="shared" si="1"/>
        <v>7.1020663498450876E-2</v>
      </c>
      <c r="R18" s="50"/>
      <c r="S18" s="50"/>
      <c r="T18" s="50"/>
      <c r="U18" s="50"/>
      <c r="V18" s="50"/>
      <c r="W18" s="50"/>
      <c r="X18" s="50"/>
      <c r="Y18" s="50"/>
    </row>
    <row r="19" spans="12:25">
      <c r="L19" s="50">
        <v>10.8</v>
      </c>
      <c r="M19" s="50"/>
      <c r="N19" s="50" t="s">
        <v>778</v>
      </c>
      <c r="O19" s="50">
        <f t="shared" si="0"/>
        <v>0.32611473574657923</v>
      </c>
      <c r="P19" s="50">
        <f t="shared" si="2"/>
        <v>0.125</v>
      </c>
      <c r="Q19" s="50">
        <f t="shared" si="1"/>
        <v>0.10635082087106121</v>
      </c>
      <c r="R19" s="50"/>
      <c r="S19" s="50"/>
      <c r="T19" s="50"/>
      <c r="U19" s="50"/>
      <c r="V19" s="50"/>
      <c r="W19" s="50"/>
      <c r="X19" s="50"/>
      <c r="Y19" s="50"/>
    </row>
    <row r="20" spans="12:25">
      <c r="L20" s="50">
        <v>12.1</v>
      </c>
      <c r="M20" s="50"/>
      <c r="N20" s="50" t="s">
        <v>777</v>
      </c>
      <c r="O20" s="50">
        <f t="shared" si="0"/>
        <v>0.30480654437243998</v>
      </c>
      <c r="P20" s="50">
        <f t="shared" si="2"/>
        <v>0.1328125</v>
      </c>
      <c r="Q20" s="50">
        <f t="shared" si="1"/>
        <v>9.2907029492268228E-2</v>
      </c>
      <c r="R20" s="50"/>
      <c r="S20" s="50"/>
      <c r="T20" s="50"/>
      <c r="U20" s="50"/>
      <c r="V20" s="50"/>
      <c r="W20" s="50"/>
      <c r="X20" s="50"/>
      <c r="Y20" s="50"/>
    </row>
    <row r="21" spans="12:25">
      <c r="L21" s="50">
        <v>17.3</v>
      </c>
      <c r="M21" s="50"/>
      <c r="N21" s="50" t="s">
        <v>776</v>
      </c>
      <c r="O21" s="50">
        <f t="shared" si="0"/>
        <v>0.18989531780053731</v>
      </c>
      <c r="P21" s="50">
        <f t="shared" si="2"/>
        <v>0.140625</v>
      </c>
      <c r="Q21" s="50">
        <f t="shared" si="1"/>
        <v>3.606023172256706E-2</v>
      </c>
      <c r="R21" s="50"/>
      <c r="S21" s="50"/>
      <c r="T21" s="50"/>
      <c r="U21" s="50"/>
      <c r="V21" s="50"/>
      <c r="W21" s="50"/>
      <c r="X21" s="50"/>
      <c r="Y21" s="50"/>
    </row>
    <row r="22" spans="12:25">
      <c r="L22" s="50">
        <v>17.100000000000001</v>
      </c>
      <c r="M22" s="50"/>
      <c r="N22" s="50" t="s">
        <v>775</v>
      </c>
      <c r="O22" s="50">
        <f t="shared" si="0"/>
        <v>0.23892294022953911</v>
      </c>
      <c r="P22" s="50">
        <f t="shared" si="2"/>
        <v>0.1484375</v>
      </c>
      <c r="Q22" s="50">
        <f t="shared" si="1"/>
        <v>5.708417136792792E-2</v>
      </c>
      <c r="R22" s="50"/>
      <c r="S22" s="50"/>
      <c r="T22" s="50"/>
      <c r="U22" s="50"/>
      <c r="V22" s="50"/>
      <c r="W22" s="50"/>
      <c r="X22" s="50"/>
      <c r="Y22" s="50"/>
    </row>
    <row r="23" spans="12:25">
      <c r="L23" s="50">
        <v>14.7</v>
      </c>
      <c r="M23" s="50"/>
      <c r="N23" s="50" t="s">
        <v>774</v>
      </c>
      <c r="O23" s="50">
        <f t="shared" si="0"/>
        <v>0.14325376891566752</v>
      </c>
      <c r="P23" s="50">
        <f t="shared" si="2"/>
        <v>0.15625</v>
      </c>
      <c r="Q23" s="50">
        <f t="shared" si="1"/>
        <v>2.0521642308543468E-2</v>
      </c>
      <c r="R23" s="50"/>
      <c r="S23" s="50"/>
      <c r="T23" s="50"/>
      <c r="U23" s="50"/>
      <c r="V23" s="50"/>
      <c r="W23" s="50"/>
      <c r="X23" s="50"/>
      <c r="Y23" s="50"/>
    </row>
    <row r="24" spans="12:25">
      <c r="L24" s="50">
        <v>10.199999999999999</v>
      </c>
      <c r="M24" s="50"/>
      <c r="N24" s="50" t="s">
        <v>773</v>
      </c>
      <c r="O24" s="50">
        <f t="shared" si="0"/>
        <v>0.68914696654730057</v>
      </c>
      <c r="P24" s="50">
        <f t="shared" si="2"/>
        <v>0.1640625</v>
      </c>
      <c r="Q24" s="50">
        <f t="shared" si="1"/>
        <v>0.47492354150134619</v>
      </c>
      <c r="R24" s="50"/>
      <c r="S24" s="50"/>
      <c r="T24" s="50"/>
      <c r="U24" s="50"/>
      <c r="V24" s="50"/>
      <c r="W24" s="50"/>
      <c r="X24" s="50"/>
      <c r="Y24" s="50"/>
    </row>
    <row r="25" spans="12:25">
      <c r="L25" s="50">
        <v>6.8</v>
      </c>
      <c r="M25" s="50"/>
      <c r="N25" s="50" t="s">
        <v>772</v>
      </c>
      <c r="O25" s="50">
        <f t="shared" si="0"/>
        <v>0.36908035641785769</v>
      </c>
      <c r="P25" s="50">
        <f t="shared" si="2"/>
        <v>0.171875</v>
      </c>
      <c r="Q25" s="50">
        <f t="shared" si="1"/>
        <v>0.13622030949353287</v>
      </c>
      <c r="R25" s="50"/>
      <c r="S25" s="50"/>
      <c r="T25" s="50"/>
      <c r="U25" s="50"/>
      <c r="V25" s="50"/>
      <c r="W25" s="50"/>
      <c r="X25" s="50"/>
      <c r="Y25" s="50"/>
    </row>
    <row r="26" spans="12:25">
      <c r="L26" s="50">
        <v>4.7</v>
      </c>
      <c r="M26" s="50"/>
      <c r="N26" s="50" t="s">
        <v>771</v>
      </c>
      <c r="O26" s="50">
        <f t="shared" si="0"/>
        <v>0.47777268318949856</v>
      </c>
      <c r="P26" s="50">
        <f t="shared" si="2"/>
        <v>0.1796875</v>
      </c>
      <c r="Q26" s="50">
        <f t="shared" si="1"/>
        <v>0.22826673680209295</v>
      </c>
      <c r="R26" s="50"/>
      <c r="S26" s="50"/>
      <c r="T26" s="50"/>
      <c r="U26" s="50"/>
      <c r="V26" s="50"/>
      <c r="W26" s="50"/>
      <c r="X26" s="50"/>
      <c r="Y26" s="50"/>
    </row>
    <row r="27" spans="12:25">
      <c r="L27" s="50">
        <v>3.7</v>
      </c>
      <c r="M27" s="50"/>
      <c r="N27" s="50" t="s">
        <v>770</v>
      </c>
      <c r="O27" s="50">
        <f t="shared" si="0"/>
        <v>0.14172436952886455</v>
      </c>
      <c r="P27" s="50">
        <f t="shared" si="2"/>
        <v>0.1875</v>
      </c>
      <c r="Q27" s="50">
        <f t="shared" si="1"/>
        <v>2.0085796918354153E-2</v>
      </c>
      <c r="R27" s="50"/>
      <c r="S27" s="50"/>
      <c r="T27" s="50"/>
      <c r="U27" s="50"/>
      <c r="V27" s="50"/>
      <c r="W27" s="50"/>
      <c r="X27" s="50"/>
      <c r="Y27" s="50"/>
    </row>
    <row r="28" spans="12:25">
      <c r="L28" s="50">
        <v>5.4</v>
      </c>
      <c r="M28" s="50"/>
      <c r="N28" s="50" t="s">
        <v>769</v>
      </c>
      <c r="O28" s="50">
        <f t="shared" si="0"/>
        <v>0.3539121851209544</v>
      </c>
      <c r="P28" s="50">
        <f t="shared" si="2"/>
        <v>0.1953125</v>
      </c>
      <c r="Q28" s="50">
        <f t="shared" si="1"/>
        <v>0.12525383477708871</v>
      </c>
      <c r="R28" s="50"/>
      <c r="S28" s="50"/>
      <c r="T28" s="50"/>
      <c r="U28" s="50"/>
      <c r="V28" s="50"/>
      <c r="W28" s="50"/>
      <c r="X28" s="50"/>
      <c r="Y28" s="50"/>
    </row>
    <row r="29" spans="12:25">
      <c r="L29" s="50">
        <v>7.5</v>
      </c>
      <c r="M29" s="50"/>
      <c r="N29" s="50" t="s">
        <v>768</v>
      </c>
      <c r="O29" s="50">
        <f t="shared" si="0"/>
        <v>0.1462189928579207</v>
      </c>
      <c r="P29" s="50">
        <f t="shared" si="2"/>
        <v>0.203125</v>
      </c>
      <c r="Q29" s="50">
        <f t="shared" si="1"/>
        <v>2.1379993872384664E-2</v>
      </c>
      <c r="R29" s="50"/>
      <c r="S29" s="50"/>
      <c r="T29" s="50"/>
      <c r="U29" s="50"/>
      <c r="V29" s="50"/>
      <c r="W29" s="50"/>
      <c r="X29" s="50"/>
      <c r="Y29" s="50"/>
    </row>
    <row r="30" spans="12:25">
      <c r="L30" s="50">
        <v>8.6999999999999993</v>
      </c>
      <c r="M30" s="50"/>
      <c r="N30" s="50" t="s">
        <v>767</v>
      </c>
      <c r="O30" s="50">
        <f t="shared" si="0"/>
        <v>0.13280051369251292</v>
      </c>
      <c r="P30" s="50">
        <f t="shared" si="2"/>
        <v>0.2109375</v>
      </c>
      <c r="Q30" s="50">
        <f t="shared" si="1"/>
        <v>1.7635976436995309E-2</v>
      </c>
      <c r="R30" s="50"/>
      <c r="S30" s="50"/>
      <c r="T30" s="50"/>
      <c r="U30" s="50"/>
      <c r="V30" s="50"/>
      <c r="W30" s="50"/>
      <c r="X30" s="50"/>
      <c r="Y30" s="50"/>
    </row>
    <row r="31" spans="12:25">
      <c r="L31" s="50">
        <v>13.6</v>
      </c>
      <c r="M31" s="50"/>
      <c r="N31" s="50" t="s">
        <v>766</v>
      </c>
      <c r="O31" s="50">
        <f t="shared" si="0"/>
        <v>0.169779591063836</v>
      </c>
      <c r="P31" s="50">
        <f t="shared" si="2"/>
        <v>0.21875</v>
      </c>
      <c r="Q31" s="50">
        <f t="shared" si="1"/>
        <v>2.8825109541803381E-2</v>
      </c>
      <c r="R31" s="50"/>
      <c r="S31" s="50"/>
      <c r="T31" s="50"/>
      <c r="U31" s="50"/>
      <c r="V31" s="50"/>
      <c r="W31" s="50"/>
      <c r="X31" s="50"/>
      <c r="Y31" s="50"/>
    </row>
    <row r="32" spans="12:25">
      <c r="L32" s="50">
        <v>15.7</v>
      </c>
      <c r="M32" s="50"/>
      <c r="N32" s="50" t="s">
        <v>765</v>
      </c>
      <c r="O32" s="50">
        <f t="shared" si="0"/>
        <v>0.28197658004979592</v>
      </c>
      <c r="P32" s="50">
        <f t="shared" si="2"/>
        <v>0.2265625</v>
      </c>
      <c r="Q32" s="50">
        <f t="shared" si="1"/>
        <v>7.9510791696578972E-2</v>
      </c>
      <c r="R32" s="50"/>
      <c r="S32" s="50"/>
      <c r="T32" s="50"/>
      <c r="U32" s="50"/>
      <c r="V32" s="50"/>
      <c r="W32" s="50"/>
      <c r="X32" s="50"/>
      <c r="Y32" s="50"/>
    </row>
    <row r="33" spans="12:25">
      <c r="L33" s="50">
        <v>16.2</v>
      </c>
      <c r="M33" s="50"/>
      <c r="N33" s="50" t="s">
        <v>764</v>
      </c>
      <c r="O33" s="50">
        <f t="shared" si="0"/>
        <v>0.25112826404894689</v>
      </c>
      <c r="P33" s="50">
        <f t="shared" si="2"/>
        <v>0.234375</v>
      </c>
      <c r="Q33" s="50">
        <f t="shared" si="1"/>
        <v>6.3065405004237587E-2</v>
      </c>
      <c r="R33" s="50"/>
      <c r="S33" s="50"/>
      <c r="T33" s="50"/>
      <c r="U33" s="50"/>
      <c r="V33" s="50"/>
      <c r="W33" s="50"/>
      <c r="X33" s="50"/>
      <c r="Y33" s="50"/>
    </row>
    <row r="34" spans="12:25">
      <c r="L34" s="50">
        <v>15.3</v>
      </c>
      <c r="M34" s="50"/>
      <c r="N34" s="50" t="s">
        <v>763</v>
      </c>
      <c r="O34" s="50">
        <f t="shared" si="0"/>
        <v>9.8957871245891851E-2</v>
      </c>
      <c r="P34" s="50">
        <f t="shared" si="2"/>
        <v>0.2421875</v>
      </c>
      <c r="Q34" s="50">
        <f t="shared" si="1"/>
        <v>9.7926602815185098E-3</v>
      </c>
      <c r="R34" s="50"/>
      <c r="S34" s="50"/>
      <c r="T34" s="50"/>
      <c r="U34" s="50"/>
      <c r="V34" s="50"/>
      <c r="W34" s="50"/>
      <c r="X34" s="50"/>
      <c r="Y34" s="50"/>
    </row>
    <row r="35" spans="12:25">
      <c r="L35" s="50">
        <v>13.4</v>
      </c>
      <c r="M35" s="50"/>
      <c r="N35" s="50" t="s">
        <v>762</v>
      </c>
      <c r="O35" s="50">
        <f t="shared" si="0"/>
        <v>0.26244884174110955</v>
      </c>
      <c r="P35" s="50">
        <f t="shared" si="2"/>
        <v>0.25</v>
      </c>
      <c r="Q35" s="50">
        <f t="shared" si="1"/>
        <v>6.8879394531249971E-2</v>
      </c>
      <c r="R35" s="50"/>
      <c r="S35" s="50"/>
      <c r="T35" s="50"/>
      <c r="U35" s="50"/>
      <c r="V35" s="50"/>
      <c r="W35" s="50"/>
      <c r="X35" s="50"/>
      <c r="Y35" s="50"/>
    </row>
    <row r="36" spans="12:25">
      <c r="L36" s="50">
        <v>7.8</v>
      </c>
      <c r="M36" s="50"/>
      <c r="N36" s="50" t="s">
        <v>761</v>
      </c>
      <c r="O36" s="50">
        <f t="shared" si="0"/>
        <v>0.17888472609259168</v>
      </c>
      <c r="P36" s="50">
        <f t="shared" si="2"/>
        <v>0.2578125</v>
      </c>
      <c r="Q36" s="50">
        <f t="shared" si="1"/>
        <v>3.1999745229221548E-2</v>
      </c>
      <c r="R36" s="50"/>
      <c r="S36" s="50"/>
      <c r="T36" s="50"/>
      <c r="U36" s="50"/>
      <c r="V36" s="50"/>
      <c r="W36" s="50"/>
      <c r="X36" s="50"/>
      <c r="Y36" s="50"/>
    </row>
    <row r="37" spans="12:25">
      <c r="L37" s="50">
        <v>7.4</v>
      </c>
      <c r="M37" s="50"/>
      <c r="N37" s="50" t="s">
        <v>760</v>
      </c>
      <c r="O37" s="50">
        <f t="shared" si="0"/>
        <v>0.29856015459712992</v>
      </c>
      <c r="P37" s="50">
        <f t="shared" si="2"/>
        <v>0.265625</v>
      </c>
      <c r="Q37" s="50">
        <f t="shared" si="1"/>
        <v>8.9138165913062117E-2</v>
      </c>
      <c r="R37" s="50"/>
      <c r="S37" s="50"/>
      <c r="T37" s="50"/>
      <c r="U37" s="50"/>
      <c r="V37" s="50"/>
      <c r="W37" s="50"/>
      <c r="X37" s="50"/>
      <c r="Y37" s="50"/>
    </row>
    <row r="38" spans="12:25">
      <c r="L38" s="50">
        <v>3.6</v>
      </c>
      <c r="M38" s="50"/>
      <c r="N38" s="50" t="s">
        <v>759</v>
      </c>
      <c r="O38" s="50">
        <f t="shared" si="0"/>
        <v>0.12633062971384654</v>
      </c>
      <c r="P38" s="50">
        <f t="shared" si="2"/>
        <v>0.2734375</v>
      </c>
      <c r="Q38" s="50">
        <f t="shared" si="1"/>
        <v>1.5959428003897005E-2</v>
      </c>
      <c r="R38" s="50"/>
      <c r="S38" s="50"/>
      <c r="T38" s="50"/>
      <c r="U38" s="50"/>
      <c r="V38" s="50"/>
      <c r="W38" s="50"/>
      <c r="X38" s="50"/>
      <c r="Y38" s="50"/>
    </row>
    <row r="39" spans="12:25">
      <c r="L39" s="50">
        <v>5.9</v>
      </c>
      <c r="M39" s="50"/>
      <c r="N39" s="50" t="s">
        <v>758</v>
      </c>
      <c r="O39" s="50">
        <f t="shared" si="0"/>
        <v>0.20642754435063743</v>
      </c>
      <c r="P39" s="50">
        <f t="shared" si="2"/>
        <v>0.28125</v>
      </c>
      <c r="Q39" s="50">
        <f t="shared" si="1"/>
        <v>4.2612331066634382E-2</v>
      </c>
      <c r="R39" s="50"/>
      <c r="S39" s="50"/>
      <c r="T39" s="50"/>
      <c r="U39" s="50"/>
      <c r="V39" s="50"/>
      <c r="W39" s="50"/>
      <c r="X39" s="50"/>
      <c r="Y39" s="50"/>
    </row>
    <row r="40" spans="12:25">
      <c r="L40" s="50">
        <v>4.5999999999999996</v>
      </c>
      <c r="M40" s="50"/>
      <c r="N40" s="50" t="s">
        <v>757</v>
      </c>
      <c r="O40" s="50">
        <f t="shared" si="0"/>
        <v>4.065217370860514E-2</v>
      </c>
      <c r="P40" s="50">
        <f t="shared" si="2"/>
        <v>0.2890625</v>
      </c>
      <c r="Q40" s="50">
        <f t="shared" si="1"/>
        <v>1.652599227234607E-3</v>
      </c>
      <c r="R40" s="50"/>
      <c r="S40" s="50"/>
      <c r="T40" s="50"/>
      <c r="U40" s="50"/>
      <c r="V40" s="50"/>
      <c r="W40" s="50"/>
      <c r="X40" s="50"/>
      <c r="Y40" s="50"/>
    </row>
    <row r="41" spans="12:25">
      <c r="L41" s="50">
        <v>6.7</v>
      </c>
      <c r="M41" s="50"/>
      <c r="N41" s="50" t="s">
        <v>756</v>
      </c>
      <c r="O41" s="50">
        <f t="shared" si="0"/>
        <v>0.1244583654359339</v>
      </c>
      <c r="P41" s="50">
        <f t="shared" si="2"/>
        <v>0.296875</v>
      </c>
      <c r="Q41" s="50">
        <f t="shared" si="1"/>
        <v>1.5489884726984466E-2</v>
      </c>
      <c r="R41" s="50"/>
      <c r="S41" s="50"/>
      <c r="T41" s="50"/>
      <c r="U41" s="50"/>
      <c r="V41" s="50"/>
      <c r="W41" s="50"/>
      <c r="X41" s="50"/>
      <c r="Y41" s="50"/>
    </row>
    <row r="42" spans="12:25">
      <c r="L42" s="50">
        <v>9.5</v>
      </c>
      <c r="M42" s="50"/>
      <c r="N42" s="50" t="s">
        <v>755</v>
      </c>
      <c r="O42" s="50">
        <f t="shared" si="0"/>
        <v>0.2676034951993978</v>
      </c>
      <c r="P42" s="50">
        <f t="shared" si="2"/>
        <v>0.3046875</v>
      </c>
      <c r="Q42" s="50">
        <f t="shared" si="1"/>
        <v>7.1611630642934118E-2</v>
      </c>
      <c r="R42" s="50"/>
      <c r="S42" s="50"/>
      <c r="T42" s="50"/>
      <c r="U42" s="50"/>
      <c r="V42" s="50"/>
      <c r="W42" s="50"/>
      <c r="X42" s="50"/>
      <c r="Y42" s="50"/>
    </row>
    <row r="43" spans="12:25">
      <c r="L43" s="50">
        <v>11.4</v>
      </c>
      <c r="M43" s="50"/>
      <c r="N43" s="50" t="s">
        <v>754</v>
      </c>
      <c r="O43" s="50">
        <f t="shared" si="0"/>
        <v>0.24369427894834061</v>
      </c>
      <c r="P43" s="50">
        <f t="shared" si="2"/>
        <v>0.3125</v>
      </c>
      <c r="Q43" s="50">
        <f t="shared" si="1"/>
        <v>5.9386901592151646E-2</v>
      </c>
      <c r="R43" s="50"/>
      <c r="S43" s="50"/>
      <c r="T43" s="50"/>
      <c r="U43" s="50"/>
      <c r="V43" s="50"/>
      <c r="W43" s="50"/>
      <c r="X43" s="50"/>
      <c r="Y43" s="50"/>
    </row>
    <row r="44" spans="12:25">
      <c r="L44" s="50">
        <v>15</v>
      </c>
      <c r="M44" s="50"/>
      <c r="N44" s="50" t="s">
        <v>753</v>
      </c>
      <c r="O44" s="50">
        <f t="shared" si="0"/>
        <v>0.27120111642081268</v>
      </c>
      <c r="P44" s="50">
        <f t="shared" si="2"/>
        <v>0.3203125</v>
      </c>
      <c r="Q44" s="50">
        <f t="shared" si="1"/>
        <v>7.3550045547895196E-2</v>
      </c>
      <c r="R44" s="50"/>
      <c r="S44" s="50"/>
      <c r="T44" s="50"/>
      <c r="U44" s="50"/>
      <c r="V44" s="50"/>
      <c r="W44" s="50"/>
      <c r="X44" s="50"/>
      <c r="Y44" s="50"/>
    </row>
    <row r="45" spans="12:25">
      <c r="L45" s="50">
        <v>15.2</v>
      </c>
      <c r="M45" s="50"/>
      <c r="N45" s="50" t="s">
        <v>752</v>
      </c>
      <c r="O45" s="50">
        <f t="shared" si="0"/>
        <v>0.26561981563396581</v>
      </c>
      <c r="P45" s="50">
        <f t="shared" si="2"/>
        <v>0.328125</v>
      </c>
      <c r="Q45" s="50">
        <f t="shared" si="1"/>
        <v>7.0553886457421985E-2</v>
      </c>
      <c r="R45" s="50"/>
      <c r="S45" s="50"/>
      <c r="T45" s="50"/>
      <c r="U45" s="50"/>
      <c r="V45" s="50"/>
      <c r="W45" s="50"/>
      <c r="X45" s="50"/>
      <c r="Y45" s="50"/>
    </row>
    <row r="46" spans="12:25">
      <c r="L46" s="50">
        <v>14.6</v>
      </c>
      <c r="M46" s="50"/>
      <c r="N46" s="50" t="s">
        <v>751</v>
      </c>
      <c r="O46" s="50">
        <f t="shared" si="0"/>
        <v>0.12063238593126631</v>
      </c>
      <c r="P46" s="50">
        <f t="shared" si="2"/>
        <v>0.3359375</v>
      </c>
      <c r="Q46" s="50">
        <f t="shared" si="1"/>
        <v>1.4552172535469978E-2</v>
      </c>
      <c r="R46" s="50"/>
      <c r="S46" s="50"/>
      <c r="T46" s="50"/>
      <c r="U46" s="50"/>
      <c r="V46" s="50"/>
      <c r="W46" s="50"/>
      <c r="X46" s="50"/>
      <c r="Y46" s="50"/>
    </row>
    <row r="47" spans="12:25">
      <c r="L47" s="50">
        <v>12.4</v>
      </c>
      <c r="M47" s="50"/>
      <c r="N47" s="50" t="s">
        <v>750</v>
      </c>
      <c r="O47" s="50">
        <f t="shared" si="0"/>
        <v>0.11998326600250793</v>
      </c>
      <c r="P47" s="50">
        <f t="shared" si="2"/>
        <v>0.34375</v>
      </c>
      <c r="Q47" s="50">
        <f t="shared" si="1"/>
        <v>1.4395984120628575E-2</v>
      </c>
      <c r="R47" s="50"/>
      <c r="S47" s="50"/>
      <c r="T47" s="50"/>
      <c r="U47" s="50"/>
      <c r="V47" s="50"/>
      <c r="W47" s="50"/>
      <c r="X47" s="50"/>
      <c r="Y47" s="50"/>
    </row>
    <row r="48" spans="12:25">
      <c r="L48" s="50">
        <v>8.5</v>
      </c>
      <c r="M48" s="50"/>
      <c r="N48" s="50" t="s">
        <v>749</v>
      </c>
      <c r="O48" s="50">
        <f t="shared" si="0"/>
        <v>0.18132715879151132</v>
      </c>
      <c r="P48" s="50">
        <f t="shared" si="2"/>
        <v>0.3515625</v>
      </c>
      <c r="Q48" s="50">
        <f t="shared" si="1"/>
        <v>3.2879538515401957E-2</v>
      </c>
      <c r="R48" s="50"/>
      <c r="S48" s="50"/>
      <c r="T48" s="50"/>
      <c r="U48" s="50"/>
      <c r="V48" s="50"/>
      <c r="W48" s="50"/>
      <c r="X48" s="50"/>
      <c r="Y48" s="50"/>
    </row>
    <row r="49" spans="12:25">
      <c r="L49" s="50">
        <v>4.5999999999999996</v>
      </c>
      <c r="M49" s="50"/>
      <c r="N49" s="50" t="s">
        <v>748</v>
      </c>
      <c r="O49" s="50">
        <f t="shared" si="0"/>
        <v>0.23688253586369218</v>
      </c>
      <c r="P49" s="50">
        <f t="shared" si="2"/>
        <v>0.359375</v>
      </c>
      <c r="Q49" s="50">
        <f t="shared" si="1"/>
        <v>5.6113335797213414E-2</v>
      </c>
      <c r="R49" s="50"/>
      <c r="S49" s="50"/>
      <c r="T49" s="50"/>
      <c r="U49" s="50"/>
      <c r="V49" s="50"/>
      <c r="W49" s="50"/>
      <c r="X49" s="50"/>
      <c r="Y49" s="50"/>
    </row>
    <row r="50" spans="12:25">
      <c r="L50" s="50">
        <v>5.5</v>
      </c>
      <c r="M50" s="50"/>
      <c r="N50" s="50" t="s">
        <v>747</v>
      </c>
      <c r="O50" s="50">
        <f t="shared" si="0"/>
        <v>0.52106752522629785</v>
      </c>
      <c r="P50" s="50">
        <f t="shared" si="2"/>
        <v>0.3671875</v>
      </c>
      <c r="Q50" s="50">
        <f t="shared" si="1"/>
        <v>0.27151136584545854</v>
      </c>
      <c r="R50" s="50"/>
      <c r="S50" s="50"/>
      <c r="T50" s="50"/>
      <c r="U50" s="50"/>
      <c r="V50" s="50"/>
      <c r="W50" s="50"/>
      <c r="X50" s="50"/>
      <c r="Y50" s="50"/>
    </row>
    <row r="51" spans="12:25">
      <c r="L51" s="50">
        <v>5.3</v>
      </c>
      <c r="M51" s="50"/>
      <c r="N51" s="50" t="s">
        <v>746</v>
      </c>
      <c r="O51" s="50">
        <f t="shared" si="0"/>
        <v>0.18310409284458615</v>
      </c>
      <c r="P51" s="50">
        <f t="shared" si="2"/>
        <v>0.375</v>
      </c>
      <c r="Q51" s="50">
        <f t="shared" si="1"/>
        <v>3.3527108816438826E-2</v>
      </c>
      <c r="R51" s="50"/>
      <c r="S51" s="50"/>
      <c r="T51" s="50"/>
      <c r="U51" s="50"/>
      <c r="V51" s="50"/>
      <c r="W51" s="50"/>
      <c r="X51" s="50"/>
      <c r="Y51" s="50"/>
    </row>
    <row r="52" spans="12:25">
      <c r="L52" s="50">
        <v>3.2</v>
      </c>
      <c r="M52" s="50"/>
      <c r="N52" s="50" t="s">
        <v>745</v>
      </c>
      <c r="O52" s="50">
        <f t="shared" si="0"/>
        <v>0.25252324775419499</v>
      </c>
      <c r="P52" s="50">
        <f t="shared" si="2"/>
        <v>0.3828125</v>
      </c>
      <c r="Q52" s="50">
        <f t="shared" si="1"/>
        <v>6.3767990656326545E-2</v>
      </c>
      <c r="R52" s="50"/>
      <c r="S52" s="50"/>
      <c r="T52" s="50"/>
      <c r="U52" s="50"/>
      <c r="V52" s="50"/>
      <c r="W52" s="50"/>
      <c r="X52" s="50"/>
      <c r="Y52" s="50"/>
    </row>
    <row r="53" spans="12:25">
      <c r="L53" s="50">
        <v>7.7</v>
      </c>
      <c r="M53" s="50"/>
      <c r="N53" s="50" t="s">
        <v>744</v>
      </c>
      <c r="O53" s="50">
        <f t="shared" si="0"/>
        <v>0.15367637866824352</v>
      </c>
      <c r="P53" s="50">
        <f t="shared" si="2"/>
        <v>0.390625</v>
      </c>
      <c r="Q53" s="50">
        <f t="shared" si="1"/>
        <v>2.3616429360585372E-2</v>
      </c>
      <c r="R53" s="50"/>
      <c r="S53" s="50"/>
      <c r="T53" s="50"/>
      <c r="U53" s="50"/>
      <c r="V53" s="50"/>
      <c r="W53" s="50"/>
      <c r="X53" s="50"/>
      <c r="Y53" s="50"/>
    </row>
    <row r="54" spans="12:25">
      <c r="L54" s="50">
        <v>8.1</v>
      </c>
      <c r="M54" s="50"/>
      <c r="N54" s="50" t="s">
        <v>743</v>
      </c>
      <c r="O54" s="50">
        <f t="shared" si="0"/>
        <v>0.29534024539294812</v>
      </c>
      <c r="P54" s="50">
        <f t="shared" si="2"/>
        <v>0.3984375</v>
      </c>
      <c r="Q54" s="50">
        <f t="shared" si="1"/>
        <v>8.7225860548766812E-2</v>
      </c>
      <c r="R54" s="50"/>
      <c r="S54" s="50"/>
      <c r="T54" s="50"/>
      <c r="U54" s="50"/>
      <c r="V54" s="50"/>
      <c r="W54" s="50"/>
      <c r="X54" s="50"/>
      <c r="Y54" s="50"/>
    </row>
    <row r="55" spans="12:25">
      <c r="L55" s="50">
        <v>10.7</v>
      </c>
      <c r="M55" s="50"/>
      <c r="N55" s="50" t="s">
        <v>742</v>
      </c>
      <c r="O55" s="50">
        <f t="shared" si="0"/>
        <v>0.27597477083468402</v>
      </c>
      <c r="P55" s="50">
        <f t="shared" si="2"/>
        <v>0.40625</v>
      </c>
      <c r="Q55" s="50">
        <f t="shared" si="1"/>
        <v>7.6162074137256369E-2</v>
      </c>
      <c r="R55" s="50"/>
      <c r="S55" s="50"/>
      <c r="T55" s="50"/>
      <c r="U55" s="50"/>
      <c r="V55" s="50"/>
      <c r="W55" s="50"/>
      <c r="X55" s="50"/>
      <c r="Y55" s="50"/>
    </row>
    <row r="56" spans="12:25">
      <c r="L56" s="50">
        <v>14.5</v>
      </c>
      <c r="M56" s="50"/>
      <c r="N56" s="50" t="s">
        <v>741</v>
      </c>
      <c r="O56" s="50">
        <f t="shared" si="0"/>
        <v>0.22422073847317986</v>
      </c>
      <c r="P56" s="50">
        <f t="shared" si="2"/>
        <v>0.4140625</v>
      </c>
      <c r="Q56" s="50">
        <f t="shared" si="1"/>
        <v>5.0274939561458121E-2</v>
      </c>
      <c r="R56" s="50"/>
      <c r="S56" s="50"/>
      <c r="T56" s="50"/>
      <c r="U56" s="50"/>
      <c r="V56" s="50"/>
      <c r="W56" s="50"/>
      <c r="X56" s="50"/>
      <c r="Y56" s="50"/>
    </row>
    <row r="57" spans="12:25">
      <c r="L57" s="50">
        <v>18</v>
      </c>
      <c r="M57" s="50"/>
      <c r="N57" s="50" t="s">
        <v>740</v>
      </c>
      <c r="O57" s="50">
        <f t="shared" si="0"/>
        <v>5.5709145955349287E-2</v>
      </c>
      <c r="P57" s="50">
        <f t="shared" si="2"/>
        <v>0.421875</v>
      </c>
      <c r="Q57" s="50">
        <f t="shared" si="1"/>
        <v>3.1035089430744098E-3</v>
      </c>
      <c r="R57" s="50"/>
      <c r="S57" s="50"/>
      <c r="T57" s="50"/>
      <c r="U57" s="50"/>
      <c r="V57" s="50"/>
      <c r="W57" s="50"/>
      <c r="X57" s="50"/>
      <c r="Y57" s="50"/>
    </row>
    <row r="58" spans="12:25">
      <c r="L58" s="50">
        <v>16</v>
      </c>
      <c r="M58" s="50"/>
      <c r="N58" s="50" t="s">
        <v>739</v>
      </c>
      <c r="O58" s="50">
        <f t="shared" si="0"/>
        <v>0.19235762330105274</v>
      </c>
      <c r="P58" s="50">
        <f t="shared" si="2"/>
        <v>0.4296875</v>
      </c>
      <c r="Q58" s="50">
        <f t="shared" si="1"/>
        <v>3.7001455242029711E-2</v>
      </c>
      <c r="R58" s="50"/>
      <c r="S58" s="50"/>
      <c r="T58" s="50"/>
      <c r="U58" s="50"/>
      <c r="V58" s="50"/>
      <c r="W58" s="50"/>
      <c r="X58" s="50"/>
      <c r="Y58" s="50"/>
    </row>
    <row r="59" spans="12:25">
      <c r="L59" s="50">
        <v>12.7</v>
      </c>
      <c r="M59" s="50"/>
      <c r="N59" s="50" t="s">
        <v>738</v>
      </c>
      <c r="O59" s="50">
        <f t="shared" si="0"/>
        <v>0.22845402080025301</v>
      </c>
      <c r="P59" s="50">
        <f t="shared" si="2"/>
        <v>0.4375</v>
      </c>
      <c r="Q59" s="50">
        <f t="shared" si="1"/>
        <v>5.2191239619802432E-2</v>
      </c>
      <c r="R59" s="50"/>
      <c r="S59" s="50"/>
      <c r="T59" s="50"/>
      <c r="U59" s="50"/>
      <c r="V59" s="50"/>
      <c r="W59" s="50"/>
      <c r="X59" s="50"/>
      <c r="Y59" s="50"/>
    </row>
    <row r="60" spans="12:25">
      <c r="L60" s="50">
        <v>10.199999999999999</v>
      </c>
      <c r="M60" s="50"/>
      <c r="N60" s="50" t="s">
        <v>737</v>
      </c>
      <c r="O60" s="50">
        <f t="shared" si="0"/>
        <v>0.16780333133219721</v>
      </c>
      <c r="P60" s="50">
        <f t="shared" si="2"/>
        <v>0.4453125</v>
      </c>
      <c r="Q60" s="50">
        <f t="shared" si="1"/>
        <v>2.8157958006183158E-2</v>
      </c>
      <c r="R60" s="50"/>
      <c r="S60" s="50"/>
      <c r="T60" s="50"/>
      <c r="U60" s="50"/>
      <c r="V60" s="50"/>
      <c r="W60" s="50"/>
      <c r="X60" s="50"/>
      <c r="Y60" s="50"/>
    </row>
    <row r="61" spans="12:25">
      <c r="L61" s="50">
        <v>10.1</v>
      </c>
      <c r="M61" s="50"/>
      <c r="N61" s="50" t="s">
        <v>736</v>
      </c>
      <c r="O61" s="50">
        <f t="shared" si="0"/>
        <v>0.31206371616180362</v>
      </c>
      <c r="P61" s="50">
        <f t="shared" si="2"/>
        <v>0.453125</v>
      </c>
      <c r="Q61" s="50">
        <f t="shared" si="1"/>
        <v>9.7383762944714736E-2</v>
      </c>
      <c r="R61" s="50"/>
      <c r="S61" s="50"/>
      <c r="T61" s="50"/>
      <c r="U61" s="50"/>
      <c r="V61" s="50"/>
      <c r="W61" s="50"/>
      <c r="X61" s="50"/>
      <c r="Y61" s="50"/>
    </row>
    <row r="62" spans="12:25">
      <c r="L62" s="50">
        <v>6.4</v>
      </c>
      <c r="M62" s="50"/>
      <c r="N62" s="50" t="s">
        <v>735</v>
      </c>
      <c r="O62" s="50">
        <f t="shared" si="0"/>
        <v>0.10829045931860509</v>
      </c>
      <c r="P62" s="50">
        <f t="shared" si="2"/>
        <v>0.4609375</v>
      </c>
      <c r="Q62" s="50">
        <f t="shared" si="1"/>
        <v>1.1726823579434465E-2</v>
      </c>
      <c r="R62" s="50"/>
      <c r="S62" s="50"/>
      <c r="T62" s="50"/>
      <c r="U62" s="50"/>
      <c r="V62" s="50"/>
      <c r="W62" s="50"/>
      <c r="X62" s="50"/>
      <c r="Y62" s="50"/>
    </row>
    <row r="63" spans="12:25">
      <c r="L63" s="50">
        <v>4.8</v>
      </c>
      <c r="M63" s="50"/>
      <c r="N63" s="50" t="s">
        <v>734</v>
      </c>
      <c r="O63" s="50">
        <f t="shared" si="0"/>
        <v>0.11994203052701105</v>
      </c>
      <c r="P63" s="50">
        <f t="shared" si="2"/>
        <v>0.46875</v>
      </c>
      <c r="Q63" s="50">
        <f t="shared" si="1"/>
        <v>1.4386090686942452E-2</v>
      </c>
      <c r="R63" s="50"/>
      <c r="S63" s="50"/>
      <c r="T63" s="50"/>
      <c r="U63" s="50"/>
      <c r="V63" s="50"/>
      <c r="W63" s="50"/>
      <c r="X63" s="50"/>
      <c r="Y63" s="50"/>
    </row>
    <row r="64" spans="12:25">
      <c r="L64" s="50">
        <v>6.5</v>
      </c>
      <c r="M64" s="50"/>
      <c r="N64" s="50" t="s">
        <v>733</v>
      </c>
      <c r="O64" s="50">
        <f t="shared" si="0"/>
        <v>0.1970969908271869</v>
      </c>
      <c r="P64" s="50">
        <f t="shared" si="2"/>
        <v>0.4765625</v>
      </c>
      <c r="Q64" s="50">
        <f t="shared" si="1"/>
        <v>3.8847223793132199E-2</v>
      </c>
      <c r="R64" s="50"/>
      <c r="S64" s="50"/>
      <c r="T64" s="50"/>
      <c r="U64" s="50"/>
      <c r="V64" s="50"/>
      <c r="W64" s="50"/>
      <c r="X64" s="50"/>
      <c r="Y64" s="50"/>
    </row>
    <row r="65" spans="12:25">
      <c r="L65" s="50">
        <v>5.6</v>
      </c>
      <c r="M65" s="50"/>
      <c r="N65" s="50" t="s">
        <v>732</v>
      </c>
      <c r="O65" s="50">
        <f t="shared" si="0"/>
        <v>0.20478058381070643</v>
      </c>
      <c r="P65" s="50">
        <f t="shared" si="2"/>
        <v>0.484375</v>
      </c>
      <c r="Q65" s="50">
        <f t="shared" si="1"/>
        <v>4.1935087505853764E-2</v>
      </c>
      <c r="R65" s="50"/>
      <c r="S65" s="50"/>
      <c r="T65" s="50"/>
      <c r="U65" s="50"/>
      <c r="V65" s="50"/>
      <c r="W65" s="50"/>
      <c r="X65" s="50"/>
      <c r="Y65" s="50"/>
    </row>
    <row r="66" spans="12:25">
      <c r="L66" s="50">
        <v>9.1</v>
      </c>
      <c r="M66" s="50"/>
      <c r="N66" s="50" t="s">
        <v>731</v>
      </c>
      <c r="O66" s="50">
        <f t="shared" si="0"/>
        <v>0.20114075272244156</v>
      </c>
      <c r="P66" s="50">
        <f t="shared" si="2"/>
        <v>0.4921875</v>
      </c>
      <c r="Q66" s="50">
        <f t="shared" si="1"/>
        <v>4.045760240575038E-2</v>
      </c>
      <c r="R66" s="50"/>
      <c r="S66" s="50"/>
      <c r="T66" s="50"/>
      <c r="U66" s="50"/>
      <c r="V66" s="50"/>
      <c r="W66" s="50"/>
      <c r="X66" s="50"/>
      <c r="Y66" s="50"/>
    </row>
    <row r="67" spans="12:25">
      <c r="L67" s="50">
        <v>11.6</v>
      </c>
      <c r="M67" s="50"/>
      <c r="N67" s="50" t="s">
        <v>730</v>
      </c>
      <c r="O67" s="50">
        <f t="shared" si="0"/>
        <v>0.20468750000000155</v>
      </c>
      <c r="P67" s="50">
        <f t="shared" si="2"/>
        <v>0.5</v>
      </c>
      <c r="Q67" s="50">
        <f t="shared" si="1"/>
        <v>4.1896972656250635E-2</v>
      </c>
      <c r="R67" s="50"/>
      <c r="S67" s="50"/>
      <c r="T67" s="50"/>
      <c r="U67" s="50"/>
      <c r="V67" s="50"/>
      <c r="W67" s="50"/>
      <c r="X67" s="50"/>
      <c r="Y67" s="50"/>
    </row>
    <row r="68" spans="12:25">
      <c r="L68" s="50">
        <v>14.3</v>
      </c>
      <c r="M68" s="50"/>
      <c r="N68" s="50" t="s">
        <v>729</v>
      </c>
      <c r="O68" s="50">
        <f t="shared" si="0"/>
        <v>0.20114075272244117</v>
      </c>
      <c r="P68" s="50"/>
      <c r="Q68" s="50"/>
      <c r="R68" s="50"/>
      <c r="S68" s="50"/>
      <c r="T68" s="50"/>
      <c r="U68" s="50"/>
      <c r="V68" s="50"/>
      <c r="W68" s="50"/>
      <c r="X68" s="50"/>
      <c r="Y68" s="50"/>
    </row>
    <row r="69" spans="12:25">
      <c r="L69" s="50">
        <v>18.600000000000001</v>
      </c>
      <c r="M69" s="50"/>
      <c r="N69" s="50" t="s">
        <v>728</v>
      </c>
      <c r="O69" s="50">
        <f t="shared" ref="O69:O130" si="3">2*IMABS(N69)/$S$1</f>
        <v>0.20478058381070696</v>
      </c>
      <c r="P69" s="50"/>
      <c r="Q69" s="50"/>
      <c r="R69" s="50"/>
      <c r="S69" s="50"/>
      <c r="T69" s="50"/>
      <c r="U69" s="50"/>
      <c r="V69" s="50"/>
      <c r="W69" s="50"/>
      <c r="X69" s="50"/>
      <c r="Y69" s="50"/>
    </row>
    <row r="70" spans="12:25">
      <c r="L70" s="50">
        <v>19.2</v>
      </c>
      <c r="M70" s="50"/>
      <c r="N70" s="50" t="s">
        <v>727</v>
      </c>
      <c r="O70" s="50">
        <f t="shared" si="3"/>
        <v>0.19709699082718679</v>
      </c>
      <c r="P70" s="50"/>
      <c r="Q70" s="50"/>
      <c r="R70" s="50"/>
      <c r="S70" s="50"/>
      <c r="T70" s="50"/>
      <c r="U70" s="50"/>
      <c r="V70" s="50"/>
      <c r="W70" s="50"/>
      <c r="X70" s="50"/>
      <c r="Y70" s="50"/>
    </row>
    <row r="71" spans="12:25">
      <c r="L71" s="50">
        <v>13.7</v>
      </c>
      <c r="M71" s="50"/>
      <c r="N71" s="50" t="s">
        <v>726</v>
      </c>
      <c r="O71" s="50">
        <f t="shared" si="3"/>
        <v>0.11994203052701105</v>
      </c>
      <c r="P71" s="50"/>
      <c r="Q71" s="50"/>
      <c r="R71" s="50"/>
      <c r="S71" s="50"/>
      <c r="T71" s="50"/>
      <c r="U71" s="50"/>
      <c r="V71" s="50"/>
      <c r="W71" s="50"/>
      <c r="X71" s="50"/>
      <c r="Y71" s="50"/>
    </row>
    <row r="72" spans="12:25">
      <c r="L72" s="50">
        <v>12.9</v>
      </c>
      <c r="M72" s="50"/>
      <c r="N72" s="50" t="s">
        <v>725</v>
      </c>
      <c r="O72" s="50">
        <f t="shared" si="3"/>
        <v>0.10829045931860419</v>
      </c>
      <c r="P72" s="50"/>
      <c r="Q72" s="50"/>
      <c r="R72" s="50"/>
      <c r="S72" s="50"/>
      <c r="T72" s="50"/>
      <c r="U72" s="50"/>
      <c r="V72" s="50"/>
      <c r="W72" s="50"/>
      <c r="X72" s="50"/>
      <c r="Y72" s="50"/>
    </row>
    <row r="73" spans="12:25">
      <c r="L73" s="50">
        <v>7.7</v>
      </c>
      <c r="M73" s="50"/>
      <c r="N73" s="50" t="s">
        <v>724</v>
      </c>
      <c r="O73" s="50">
        <f t="shared" si="3"/>
        <v>0.31206371616180367</v>
      </c>
      <c r="P73" s="50"/>
      <c r="Q73" s="50"/>
      <c r="R73" s="50"/>
      <c r="S73" s="50"/>
      <c r="T73" s="50"/>
      <c r="U73" s="50"/>
      <c r="V73" s="50"/>
      <c r="W73" s="50"/>
      <c r="X73" s="50"/>
      <c r="Y73" s="50"/>
    </row>
    <row r="74" spans="12:25">
      <c r="L74" s="50">
        <v>2.2999999999999998</v>
      </c>
      <c r="M74" s="50"/>
      <c r="N74" s="50" t="s">
        <v>723</v>
      </c>
      <c r="O74" s="50">
        <f t="shared" si="3"/>
        <v>0.16780333133219752</v>
      </c>
      <c r="P74" s="50"/>
      <c r="Q74" s="50"/>
      <c r="R74" s="50"/>
      <c r="S74" s="50"/>
      <c r="T74" s="50"/>
      <c r="U74" s="50"/>
      <c r="V74" s="50"/>
      <c r="W74" s="50"/>
      <c r="X74" s="50"/>
      <c r="Y74" s="50"/>
    </row>
    <row r="75" spans="12:25">
      <c r="L75" s="50">
        <v>4.3</v>
      </c>
      <c r="M75" s="50"/>
      <c r="N75" s="50" t="s">
        <v>722</v>
      </c>
      <c r="O75" s="50">
        <f t="shared" si="3"/>
        <v>0.22845402080025301</v>
      </c>
      <c r="P75" s="50"/>
      <c r="Q75" s="50"/>
      <c r="R75" s="50"/>
      <c r="S75" s="50"/>
      <c r="T75" s="50"/>
      <c r="U75" s="50"/>
      <c r="V75" s="50"/>
      <c r="W75" s="50"/>
      <c r="X75" s="50"/>
      <c r="Y75" s="50"/>
    </row>
    <row r="76" spans="12:25">
      <c r="L76" s="50">
        <v>2.5</v>
      </c>
      <c r="M76" s="50"/>
      <c r="N76" s="50" t="s">
        <v>721</v>
      </c>
      <c r="O76" s="50">
        <f t="shared" si="3"/>
        <v>0.19235762330105316</v>
      </c>
      <c r="P76" s="50"/>
      <c r="Q76" s="50"/>
      <c r="R76" s="50"/>
      <c r="S76" s="50"/>
      <c r="T76" s="50"/>
      <c r="U76" s="50"/>
      <c r="V76" s="50"/>
      <c r="W76" s="50"/>
      <c r="X76" s="50"/>
      <c r="Y76" s="50"/>
    </row>
    <row r="77" spans="12:25">
      <c r="L77" s="50">
        <v>4.5</v>
      </c>
      <c r="M77" s="50"/>
      <c r="N77" s="50" t="s">
        <v>720</v>
      </c>
      <c r="O77" s="50">
        <f t="shared" si="3"/>
        <v>5.5709145955348739E-2</v>
      </c>
      <c r="P77" s="50"/>
      <c r="Q77" s="50"/>
      <c r="R77" s="50"/>
      <c r="S77" s="50"/>
      <c r="T77" s="50"/>
      <c r="U77" s="50"/>
      <c r="V77" s="50"/>
      <c r="W77" s="50"/>
      <c r="X77" s="50"/>
      <c r="Y77" s="50"/>
    </row>
    <row r="78" spans="12:25">
      <c r="L78" s="50">
        <v>8.5</v>
      </c>
      <c r="M78" s="50"/>
      <c r="N78" s="50" t="s">
        <v>719</v>
      </c>
      <c r="O78" s="50">
        <f t="shared" si="3"/>
        <v>0.22422073847318433</v>
      </c>
      <c r="P78" s="50"/>
      <c r="Q78" s="50"/>
      <c r="R78" s="50"/>
      <c r="S78" s="50"/>
      <c r="T78" s="50"/>
      <c r="U78" s="50"/>
      <c r="V78" s="50"/>
      <c r="W78" s="50"/>
      <c r="X78" s="50"/>
      <c r="Y78" s="50"/>
    </row>
    <row r="79" spans="12:25">
      <c r="L79" s="50">
        <v>9.1</v>
      </c>
      <c r="M79" s="50"/>
      <c r="N79" s="50" t="s">
        <v>718</v>
      </c>
      <c r="O79" s="50">
        <f t="shared" si="3"/>
        <v>0.2759747708346853</v>
      </c>
      <c r="P79" s="50"/>
      <c r="Q79" s="50"/>
      <c r="R79" s="50"/>
      <c r="S79" s="50"/>
      <c r="T79" s="50"/>
      <c r="U79" s="50"/>
      <c r="V79" s="50"/>
      <c r="W79" s="50"/>
      <c r="X79" s="50"/>
      <c r="Y79" s="50"/>
    </row>
    <row r="80" spans="12:25">
      <c r="L80" s="50">
        <v>14.4</v>
      </c>
      <c r="M80" s="50"/>
      <c r="N80" s="50" t="s">
        <v>717</v>
      </c>
      <c r="O80" s="50">
        <f t="shared" si="3"/>
        <v>0.29534024539294745</v>
      </c>
      <c r="P80" s="50"/>
      <c r="Q80" s="50"/>
      <c r="R80" s="50"/>
      <c r="S80" s="50"/>
      <c r="T80" s="50"/>
      <c r="U80" s="50"/>
      <c r="V80" s="50"/>
      <c r="W80" s="50"/>
      <c r="X80" s="50"/>
      <c r="Y80" s="50"/>
    </row>
    <row r="81" spans="12:25">
      <c r="L81" s="50">
        <v>16.5</v>
      </c>
      <c r="M81" s="50"/>
      <c r="N81" s="50" t="s">
        <v>716</v>
      </c>
      <c r="O81" s="50">
        <f t="shared" si="3"/>
        <v>0.15367637866824413</v>
      </c>
      <c r="P81" s="50"/>
      <c r="Q81" s="50"/>
      <c r="R81" s="50"/>
      <c r="S81" s="50"/>
      <c r="T81" s="50"/>
      <c r="U81" s="50"/>
      <c r="V81" s="50"/>
      <c r="W81" s="50"/>
      <c r="X81" s="50"/>
      <c r="Y81" s="50"/>
    </row>
    <row r="82" spans="12:25">
      <c r="L82" s="50">
        <v>16.5</v>
      </c>
      <c r="M82" s="50"/>
      <c r="N82" s="50" t="s">
        <v>715</v>
      </c>
      <c r="O82" s="50">
        <f t="shared" si="3"/>
        <v>0.25252324775419621</v>
      </c>
      <c r="P82" s="50"/>
      <c r="Q82" s="50"/>
      <c r="R82" s="50"/>
      <c r="S82" s="50"/>
      <c r="T82" s="50"/>
      <c r="U82" s="50"/>
      <c r="V82" s="50"/>
      <c r="W82" s="50"/>
      <c r="X82" s="50"/>
      <c r="Y82" s="50"/>
    </row>
    <row r="83" spans="12:25">
      <c r="L83" s="50">
        <v>13.6</v>
      </c>
      <c r="M83" s="50"/>
      <c r="N83" s="50" t="s">
        <v>714</v>
      </c>
      <c r="O83" s="50">
        <f t="shared" si="3"/>
        <v>0.18310409284458642</v>
      </c>
      <c r="P83" s="50"/>
      <c r="Q83" s="50"/>
      <c r="R83" s="50"/>
      <c r="S83" s="50"/>
      <c r="T83" s="50"/>
      <c r="U83" s="50"/>
      <c r="V83" s="50"/>
      <c r="W83" s="50"/>
      <c r="X83" s="50"/>
      <c r="Y83" s="50"/>
    </row>
    <row r="84" spans="12:25">
      <c r="L84" s="50">
        <v>11.7</v>
      </c>
      <c r="M84" s="50"/>
      <c r="N84" s="50" t="s">
        <v>713</v>
      </c>
      <c r="O84" s="50">
        <f t="shared" si="3"/>
        <v>0.5210675252262984</v>
      </c>
      <c r="P84" s="50"/>
      <c r="Q84" s="50"/>
      <c r="R84" s="50"/>
      <c r="S84" s="50"/>
      <c r="T84" s="50"/>
      <c r="U84" s="50"/>
      <c r="V84" s="50"/>
      <c r="W84" s="50"/>
      <c r="X84" s="50"/>
      <c r="Y84" s="50"/>
    </row>
    <row r="85" spans="12:25">
      <c r="L85" s="50">
        <v>5.9</v>
      </c>
      <c r="M85" s="50"/>
      <c r="N85" s="50" t="s">
        <v>712</v>
      </c>
      <c r="O85" s="50">
        <f t="shared" si="3"/>
        <v>0.2368825358636914</v>
      </c>
      <c r="P85" s="50"/>
      <c r="Q85" s="50"/>
      <c r="R85" s="50"/>
      <c r="S85" s="50"/>
      <c r="T85" s="50"/>
      <c r="U85" s="50"/>
      <c r="V85" s="50"/>
      <c r="W85" s="50"/>
      <c r="X85" s="50"/>
      <c r="Y85" s="50"/>
    </row>
    <row r="86" spans="12:25">
      <c r="L86" s="50">
        <v>2.9</v>
      </c>
      <c r="M86" s="50"/>
      <c r="N86" s="50" t="s">
        <v>711</v>
      </c>
      <c r="O86" s="50">
        <f t="shared" si="3"/>
        <v>0.18132715879151218</v>
      </c>
      <c r="P86" s="50"/>
      <c r="Q86" s="50"/>
      <c r="R86" s="50"/>
      <c r="S86" s="50"/>
      <c r="T86" s="50"/>
      <c r="U86" s="50"/>
      <c r="V86" s="50"/>
      <c r="W86" s="50"/>
      <c r="X86" s="50"/>
      <c r="Y86" s="50"/>
    </row>
    <row r="87" spans="12:25">
      <c r="L87" s="50">
        <v>2.5</v>
      </c>
      <c r="M87" s="50"/>
      <c r="N87" s="50" t="s">
        <v>710</v>
      </c>
      <c r="O87" s="50">
        <f t="shared" si="3"/>
        <v>0.11998326600250772</v>
      </c>
      <c r="P87" s="50"/>
      <c r="Q87" s="50"/>
      <c r="R87" s="50"/>
      <c r="S87" s="50"/>
      <c r="T87" s="50"/>
      <c r="U87" s="50"/>
      <c r="V87" s="50"/>
      <c r="W87" s="50"/>
      <c r="X87" s="50"/>
      <c r="Y87" s="50"/>
    </row>
    <row r="88" spans="12:25">
      <c r="L88" s="50">
        <v>6.7</v>
      </c>
      <c r="M88" s="50"/>
      <c r="N88" s="50" t="s">
        <v>709</v>
      </c>
      <c r="O88" s="50">
        <f t="shared" si="3"/>
        <v>0.12063238593126419</v>
      </c>
      <c r="P88" s="50"/>
      <c r="Q88" s="50"/>
      <c r="R88" s="50"/>
      <c r="S88" s="50"/>
      <c r="T88" s="50"/>
      <c r="U88" s="50"/>
      <c r="V88" s="50"/>
      <c r="W88" s="50"/>
      <c r="X88" s="50"/>
      <c r="Y88" s="50"/>
    </row>
    <row r="89" spans="12:25">
      <c r="L89" s="50">
        <v>8.4</v>
      </c>
      <c r="M89" s="50"/>
      <c r="N89" s="50" t="s">
        <v>708</v>
      </c>
      <c r="O89" s="50">
        <f t="shared" si="3"/>
        <v>0.26561981563396775</v>
      </c>
      <c r="P89" s="50"/>
      <c r="Q89" s="50"/>
      <c r="R89" s="50"/>
      <c r="S89" s="50"/>
      <c r="T89" s="50"/>
      <c r="U89" s="50"/>
      <c r="V89" s="50"/>
      <c r="W89" s="50"/>
      <c r="X89" s="50"/>
      <c r="Y89" s="50"/>
    </row>
    <row r="90" spans="12:25">
      <c r="L90" s="50">
        <v>9</v>
      </c>
      <c r="M90" s="50"/>
      <c r="N90" s="50" t="s">
        <v>707</v>
      </c>
      <c r="O90" s="50">
        <f t="shared" si="3"/>
        <v>0.27120111642081279</v>
      </c>
      <c r="P90" s="50"/>
      <c r="Q90" s="50"/>
      <c r="R90" s="50"/>
      <c r="S90" s="50"/>
      <c r="T90" s="50"/>
      <c r="U90" s="50"/>
      <c r="V90" s="50"/>
      <c r="W90" s="50"/>
      <c r="X90" s="50"/>
      <c r="Y90" s="50"/>
    </row>
    <row r="91" spans="12:25">
      <c r="L91" s="50">
        <v>11.5</v>
      </c>
      <c r="M91" s="50"/>
      <c r="N91" s="50" t="s">
        <v>706</v>
      </c>
      <c r="O91" s="50">
        <f t="shared" si="3"/>
        <v>0.24369427894834128</v>
      </c>
      <c r="P91" s="50"/>
      <c r="Q91" s="50"/>
      <c r="R91" s="50"/>
      <c r="S91" s="50"/>
      <c r="T91" s="50"/>
      <c r="U91" s="50"/>
      <c r="V91" s="50"/>
      <c r="W91" s="50"/>
      <c r="X91" s="50"/>
      <c r="Y91" s="50"/>
    </row>
    <row r="92" spans="12:25">
      <c r="L92" s="50">
        <v>14.1</v>
      </c>
      <c r="M92" s="50"/>
      <c r="N92" s="50" t="s">
        <v>705</v>
      </c>
      <c r="O92" s="50">
        <f t="shared" si="3"/>
        <v>0.26760349519939886</v>
      </c>
      <c r="P92" s="50"/>
      <c r="Q92" s="50"/>
      <c r="R92" s="50"/>
      <c r="S92" s="50"/>
      <c r="T92" s="50"/>
      <c r="U92" s="50"/>
      <c r="V92" s="50"/>
      <c r="W92" s="50"/>
      <c r="X92" s="50"/>
      <c r="Y92" s="50"/>
    </row>
    <row r="93" spans="12:25">
      <c r="L93" s="50">
        <v>16.7</v>
      </c>
      <c r="M93" s="50"/>
      <c r="N93" s="50" t="s">
        <v>704</v>
      </c>
      <c r="O93" s="50">
        <f t="shared" si="3"/>
        <v>0.12445836543593382</v>
      </c>
      <c r="P93" s="50"/>
      <c r="Q93" s="50"/>
      <c r="R93" s="50"/>
      <c r="S93" s="50"/>
      <c r="T93" s="50"/>
      <c r="U93" s="50"/>
      <c r="V93" s="50"/>
      <c r="W93" s="50"/>
      <c r="X93" s="50"/>
      <c r="Y93" s="50"/>
    </row>
    <row r="94" spans="12:25">
      <c r="L94" s="50">
        <v>18.899999999999999</v>
      </c>
      <c r="M94" s="50"/>
      <c r="N94" s="50" t="s">
        <v>703</v>
      </c>
      <c r="O94" s="50">
        <f t="shared" si="3"/>
        <v>4.0652173708605202E-2</v>
      </c>
      <c r="P94" s="50"/>
      <c r="Q94" s="50"/>
      <c r="R94" s="50"/>
      <c r="S94" s="50"/>
      <c r="T94" s="50"/>
      <c r="U94" s="50"/>
      <c r="V94" s="50"/>
      <c r="W94" s="50"/>
      <c r="X94" s="50"/>
      <c r="Y94" s="50"/>
    </row>
    <row r="95" spans="12:25">
      <c r="L95" s="50">
        <v>14.2</v>
      </c>
      <c r="M95" s="50"/>
      <c r="N95" s="50" t="s">
        <v>702</v>
      </c>
      <c r="O95" s="50">
        <f t="shared" si="3"/>
        <v>0.20642754435063743</v>
      </c>
      <c r="P95" s="50"/>
      <c r="Q95" s="50"/>
      <c r="R95" s="50"/>
      <c r="S95" s="50"/>
      <c r="T95" s="50"/>
      <c r="U95" s="50"/>
      <c r="V95" s="50"/>
      <c r="W95" s="50"/>
      <c r="X95" s="50"/>
      <c r="Y95" s="50"/>
    </row>
    <row r="96" spans="12:25">
      <c r="L96" s="50">
        <v>10.199999999999999</v>
      </c>
      <c r="M96" s="50"/>
      <c r="N96" s="50" t="s">
        <v>701</v>
      </c>
      <c r="O96" s="50">
        <f t="shared" si="3"/>
        <v>0.1263306297138467</v>
      </c>
      <c r="P96" s="50"/>
      <c r="Q96" s="50"/>
      <c r="R96" s="50"/>
      <c r="S96" s="50"/>
      <c r="T96" s="50"/>
      <c r="U96" s="50"/>
      <c r="V96" s="50"/>
      <c r="W96" s="50"/>
      <c r="X96" s="50"/>
      <c r="Y96" s="50"/>
    </row>
    <row r="97" spans="12:25">
      <c r="L97" s="50">
        <v>8.4</v>
      </c>
      <c r="M97" s="50"/>
      <c r="N97" s="50" t="s">
        <v>700</v>
      </c>
      <c r="O97" s="50">
        <f t="shared" si="3"/>
        <v>0.29856015459712992</v>
      </c>
      <c r="P97" s="50"/>
      <c r="Q97" s="50"/>
      <c r="R97" s="50"/>
      <c r="S97" s="50"/>
      <c r="T97" s="50"/>
      <c r="U97" s="50"/>
      <c r="V97" s="50"/>
      <c r="W97" s="50"/>
      <c r="X97" s="50"/>
      <c r="Y97" s="50"/>
    </row>
    <row r="98" spans="12:25">
      <c r="L98" s="50">
        <v>5.8</v>
      </c>
      <c r="M98" s="50"/>
      <c r="N98" s="50" t="s">
        <v>699</v>
      </c>
      <c r="O98" s="50">
        <f t="shared" si="3"/>
        <v>0.17888472609259115</v>
      </c>
      <c r="P98" s="50"/>
      <c r="Q98" s="50"/>
      <c r="R98" s="50"/>
      <c r="S98" s="50"/>
      <c r="T98" s="50"/>
      <c r="U98" s="50"/>
      <c r="V98" s="50"/>
      <c r="W98" s="50"/>
      <c r="X98" s="50"/>
      <c r="Y98" s="50"/>
    </row>
    <row r="99" spans="12:25">
      <c r="L99" s="50">
        <v>5.2</v>
      </c>
      <c r="M99" s="50"/>
      <c r="N99" s="50" t="s">
        <v>698</v>
      </c>
      <c r="O99" s="50">
        <f t="shared" si="3"/>
        <v>0.26244884174110955</v>
      </c>
      <c r="P99" s="50"/>
      <c r="Q99" s="50"/>
      <c r="R99" s="50"/>
      <c r="S99" s="50"/>
      <c r="T99" s="50"/>
      <c r="U99" s="50"/>
      <c r="V99" s="50"/>
      <c r="W99" s="50"/>
      <c r="X99" s="50"/>
      <c r="Y99" s="50"/>
    </row>
    <row r="100" spans="12:25">
      <c r="L100" s="50">
        <v>7.3</v>
      </c>
      <c r="M100" s="50"/>
      <c r="N100" s="50" t="s">
        <v>697</v>
      </c>
      <c r="O100" s="50">
        <f t="shared" si="3"/>
        <v>9.8957871245891962E-2</v>
      </c>
      <c r="P100" s="50"/>
      <c r="Q100" s="50"/>
      <c r="R100" s="50"/>
      <c r="S100" s="50"/>
      <c r="T100" s="50"/>
      <c r="U100" s="50"/>
      <c r="V100" s="50"/>
      <c r="W100" s="50"/>
      <c r="X100" s="50"/>
      <c r="Y100" s="50"/>
    </row>
    <row r="101" spans="12:25">
      <c r="L101" s="50">
        <v>7.9</v>
      </c>
      <c r="M101" s="50"/>
      <c r="N101" s="50" t="s">
        <v>696</v>
      </c>
      <c r="O101" s="50">
        <f t="shared" si="3"/>
        <v>0.25112826404894711</v>
      </c>
      <c r="P101" s="50"/>
      <c r="Q101" s="50"/>
      <c r="R101" s="50"/>
      <c r="S101" s="50"/>
      <c r="T101" s="50"/>
      <c r="U101" s="50"/>
      <c r="V101" s="50"/>
      <c r="W101" s="50"/>
      <c r="X101" s="50"/>
      <c r="Y101" s="50"/>
    </row>
    <row r="102" spans="12:25">
      <c r="L102" s="50">
        <v>7.7</v>
      </c>
      <c r="M102" s="50"/>
      <c r="N102" s="50" t="s">
        <v>695</v>
      </c>
      <c r="O102" s="50">
        <f t="shared" si="3"/>
        <v>0.28197658004979664</v>
      </c>
      <c r="P102" s="50"/>
      <c r="Q102" s="50"/>
      <c r="R102" s="50"/>
      <c r="S102" s="50"/>
      <c r="T102" s="50"/>
      <c r="U102" s="50"/>
      <c r="V102" s="50"/>
      <c r="W102" s="50"/>
      <c r="X102" s="50"/>
      <c r="Y102" s="50"/>
    </row>
    <row r="103" spans="12:25">
      <c r="L103" s="50">
        <v>13.1</v>
      </c>
      <c r="M103" s="50"/>
      <c r="N103" s="50" t="s">
        <v>694</v>
      </c>
      <c r="O103" s="50">
        <f t="shared" si="3"/>
        <v>0.16977959106383594</v>
      </c>
      <c r="P103" s="50"/>
      <c r="Q103" s="50"/>
      <c r="R103" s="50"/>
      <c r="S103" s="50"/>
      <c r="T103" s="50"/>
      <c r="U103" s="50"/>
      <c r="V103" s="50"/>
      <c r="W103" s="50"/>
      <c r="X103" s="50"/>
      <c r="Y103" s="50"/>
    </row>
    <row r="104" spans="12:25">
      <c r="L104" s="50">
        <v>14.2</v>
      </c>
      <c r="M104" s="50"/>
      <c r="N104" s="50" t="s">
        <v>693</v>
      </c>
      <c r="O104" s="50">
        <f t="shared" si="3"/>
        <v>0.13280051369251447</v>
      </c>
      <c r="P104" s="50"/>
      <c r="Q104" s="50"/>
      <c r="R104" s="50"/>
      <c r="S104" s="50"/>
      <c r="T104" s="50"/>
      <c r="U104" s="50"/>
      <c r="V104" s="50"/>
      <c r="W104" s="50"/>
      <c r="X104" s="50"/>
      <c r="Y104" s="50"/>
    </row>
    <row r="105" spans="12:25">
      <c r="L105" s="50">
        <v>15.5</v>
      </c>
      <c r="M105" s="50"/>
      <c r="N105" s="50" t="s">
        <v>692</v>
      </c>
      <c r="O105" s="50">
        <f t="shared" si="3"/>
        <v>0.14621899285792128</v>
      </c>
      <c r="P105" s="50"/>
      <c r="Q105" s="50"/>
      <c r="R105" s="50"/>
      <c r="S105" s="50"/>
      <c r="T105" s="50"/>
      <c r="U105" s="50"/>
      <c r="V105" s="50"/>
      <c r="W105" s="50"/>
      <c r="X105" s="50"/>
      <c r="Y105" s="50"/>
    </row>
    <row r="106" spans="12:25">
      <c r="L106" s="50">
        <v>15.9</v>
      </c>
      <c r="M106" s="50"/>
      <c r="N106" s="50" t="s">
        <v>691</v>
      </c>
      <c r="O106" s="50">
        <f t="shared" si="3"/>
        <v>0.35391218512095385</v>
      </c>
      <c r="P106" s="50"/>
      <c r="Q106" s="50"/>
      <c r="R106" s="50"/>
      <c r="S106" s="50"/>
      <c r="T106" s="50"/>
      <c r="U106" s="50"/>
      <c r="V106" s="50"/>
      <c r="W106" s="50"/>
      <c r="X106" s="50"/>
      <c r="Y106" s="50"/>
    </row>
    <row r="107" spans="12:25">
      <c r="L107" s="50">
        <v>14.9</v>
      </c>
      <c r="M107" s="50"/>
      <c r="N107" s="50" t="s">
        <v>690</v>
      </c>
      <c r="O107" s="50">
        <f t="shared" si="3"/>
        <v>0.14172436952886469</v>
      </c>
      <c r="P107" s="50"/>
      <c r="Q107" s="50"/>
      <c r="R107" s="50"/>
      <c r="S107" s="50"/>
      <c r="T107" s="50"/>
      <c r="U107" s="50"/>
      <c r="V107" s="50"/>
      <c r="W107" s="50"/>
      <c r="X107" s="50"/>
      <c r="Y107" s="50"/>
    </row>
    <row r="108" spans="12:25">
      <c r="L108" s="50">
        <v>10.6</v>
      </c>
      <c r="M108" s="50"/>
      <c r="N108" s="50" t="s">
        <v>689</v>
      </c>
      <c r="O108" s="50">
        <f t="shared" si="3"/>
        <v>0.477772683189498</v>
      </c>
      <c r="P108" s="50"/>
      <c r="Q108" s="50"/>
      <c r="R108" s="50"/>
      <c r="S108" s="50"/>
      <c r="T108" s="50"/>
      <c r="U108" s="50"/>
      <c r="V108" s="50"/>
      <c r="W108" s="50"/>
      <c r="X108" s="50"/>
      <c r="Y108" s="50"/>
    </row>
    <row r="109" spans="12:25">
      <c r="L109" s="50">
        <v>6.2</v>
      </c>
      <c r="M109" s="50"/>
      <c r="N109" s="50" t="s">
        <v>688</v>
      </c>
      <c r="O109" s="50">
        <f t="shared" si="3"/>
        <v>0.36908035641785814</v>
      </c>
      <c r="P109" s="50"/>
      <c r="Q109" s="50"/>
      <c r="R109" s="50"/>
      <c r="S109" s="50"/>
      <c r="T109" s="50"/>
      <c r="U109" s="50"/>
      <c r="V109" s="50"/>
      <c r="W109" s="50"/>
      <c r="X109" s="50"/>
      <c r="Y109" s="50"/>
    </row>
    <row r="110" spans="12:25">
      <c r="L110" s="50">
        <v>5.5</v>
      </c>
      <c r="M110" s="50"/>
      <c r="N110" s="50" t="s">
        <v>687</v>
      </c>
      <c r="O110" s="50">
        <f t="shared" si="3"/>
        <v>0.6891469665472999</v>
      </c>
      <c r="P110" s="50"/>
      <c r="Q110" s="50"/>
      <c r="R110" s="50"/>
      <c r="S110" s="50"/>
      <c r="T110" s="50"/>
      <c r="U110" s="50"/>
      <c r="V110" s="50"/>
      <c r="W110" s="50"/>
      <c r="X110" s="50"/>
      <c r="Y110" s="50"/>
    </row>
    <row r="111" spans="12:25">
      <c r="L111" s="50">
        <v>5.5</v>
      </c>
      <c r="M111" s="50"/>
      <c r="N111" s="50" t="s">
        <v>686</v>
      </c>
      <c r="O111" s="50">
        <f t="shared" si="3"/>
        <v>0.14325376891566727</v>
      </c>
      <c r="P111" s="50"/>
      <c r="Q111" s="50"/>
      <c r="R111" s="50"/>
      <c r="S111" s="50"/>
      <c r="T111" s="50"/>
      <c r="U111" s="50"/>
      <c r="V111" s="50"/>
      <c r="W111" s="50"/>
      <c r="X111" s="50"/>
      <c r="Y111" s="50"/>
    </row>
    <row r="112" spans="12:25">
      <c r="L112" s="50">
        <v>5.3</v>
      </c>
      <c r="M112" s="50"/>
      <c r="N112" s="50" t="s">
        <v>685</v>
      </c>
      <c r="O112" s="50">
        <f t="shared" si="3"/>
        <v>0.23892294022953758</v>
      </c>
      <c r="P112" s="50"/>
      <c r="Q112" s="50"/>
      <c r="R112" s="50"/>
      <c r="S112" s="50"/>
      <c r="T112" s="50"/>
      <c r="U112" s="50"/>
      <c r="V112" s="50"/>
      <c r="W112" s="50"/>
      <c r="X112" s="50"/>
      <c r="Y112" s="50"/>
    </row>
    <row r="113" spans="12:25">
      <c r="L113" s="50">
        <v>7.4</v>
      </c>
      <c r="M113" s="50"/>
      <c r="N113" s="50" t="s">
        <v>684</v>
      </c>
      <c r="O113" s="50">
        <f t="shared" si="3"/>
        <v>0.18989531780053856</v>
      </c>
      <c r="P113" s="50"/>
      <c r="Q113" s="50"/>
      <c r="R113" s="50"/>
      <c r="S113" s="50"/>
      <c r="T113" s="50"/>
      <c r="U113" s="50"/>
      <c r="V113" s="50"/>
      <c r="W113" s="50"/>
      <c r="X113" s="50"/>
      <c r="Y113" s="50"/>
    </row>
    <row r="114" spans="12:25">
      <c r="L114" s="50">
        <v>9.4</v>
      </c>
      <c r="M114" s="50"/>
      <c r="N114" s="50" t="s">
        <v>683</v>
      </c>
      <c r="O114" s="50">
        <f t="shared" si="3"/>
        <v>0.30480654437244009</v>
      </c>
      <c r="P114" s="50"/>
      <c r="Q114" s="50"/>
      <c r="R114" s="50"/>
      <c r="S114" s="50"/>
      <c r="T114" s="50"/>
      <c r="U114" s="50"/>
      <c r="V114" s="50"/>
      <c r="W114" s="50"/>
      <c r="X114" s="50"/>
      <c r="Y114" s="50"/>
    </row>
    <row r="115" spans="12:25">
      <c r="L115" s="50">
        <v>12.9</v>
      </c>
      <c r="M115" s="50"/>
      <c r="N115" s="50" t="s">
        <v>682</v>
      </c>
      <c r="O115" s="50">
        <f t="shared" si="3"/>
        <v>0.32611473574657962</v>
      </c>
      <c r="P115" s="50"/>
      <c r="Q115" s="50"/>
      <c r="R115" s="50"/>
      <c r="S115" s="50"/>
      <c r="T115" s="50"/>
      <c r="U115" s="50"/>
      <c r="V115" s="50"/>
      <c r="W115" s="50"/>
      <c r="X115" s="50"/>
      <c r="Y115" s="50"/>
    </row>
    <row r="116" spans="12:25">
      <c r="L116" s="50">
        <v>13.9</v>
      </c>
      <c r="M116" s="50"/>
      <c r="N116" s="50" t="s">
        <v>681</v>
      </c>
      <c r="O116" s="50">
        <f t="shared" si="3"/>
        <v>0.26649702343262671</v>
      </c>
      <c r="P116" s="50"/>
      <c r="Q116" s="50"/>
      <c r="R116" s="50"/>
      <c r="S116" s="50"/>
      <c r="T116" s="50"/>
      <c r="U116" s="50"/>
      <c r="V116" s="50"/>
      <c r="W116" s="50"/>
      <c r="X116" s="50"/>
      <c r="Y116" s="50"/>
    </row>
    <row r="117" spans="12:25">
      <c r="L117" s="50">
        <v>17.7</v>
      </c>
      <c r="M117" s="50"/>
      <c r="N117" s="50" t="s">
        <v>680</v>
      </c>
      <c r="O117" s="50">
        <f t="shared" si="3"/>
        <v>0.43270671458572213</v>
      </c>
      <c r="P117" s="50"/>
      <c r="Q117" s="50"/>
      <c r="R117" s="50"/>
      <c r="S117" s="50"/>
      <c r="T117" s="50"/>
      <c r="U117" s="50"/>
      <c r="V117" s="50"/>
      <c r="W117" s="50"/>
      <c r="X117" s="50"/>
      <c r="Y117" s="50"/>
    </row>
    <row r="118" spans="12:25">
      <c r="L118" s="50">
        <v>16.100000000000001</v>
      </c>
      <c r="M118" s="50"/>
      <c r="N118" s="50" t="s">
        <v>679</v>
      </c>
      <c r="O118" s="50">
        <f t="shared" si="3"/>
        <v>1.0303353869931358</v>
      </c>
      <c r="P118" s="50"/>
      <c r="Q118" s="50"/>
      <c r="R118" s="50"/>
      <c r="S118" s="50"/>
      <c r="T118" s="50"/>
      <c r="U118" s="50"/>
      <c r="V118" s="50"/>
      <c r="W118" s="50"/>
      <c r="X118" s="50"/>
      <c r="Y118" s="50"/>
    </row>
    <row r="119" spans="12:25">
      <c r="L119" s="50">
        <v>15.6</v>
      </c>
      <c r="M119" s="50"/>
      <c r="N119" s="50" t="s">
        <v>678</v>
      </c>
      <c r="O119" s="50">
        <f t="shared" si="3"/>
        <v>1.3856847166615138</v>
      </c>
      <c r="P119" s="50"/>
      <c r="Q119" s="50"/>
      <c r="R119" s="50"/>
      <c r="S119" s="50"/>
      <c r="T119" s="50"/>
      <c r="U119" s="50"/>
      <c r="V119" s="50"/>
      <c r="W119" s="50"/>
      <c r="X119" s="50"/>
      <c r="Y119" s="50"/>
    </row>
    <row r="120" spans="12:25">
      <c r="L120" s="50">
        <v>10.7</v>
      </c>
      <c r="M120" s="50"/>
      <c r="N120" s="50" t="s">
        <v>677</v>
      </c>
      <c r="O120" s="50">
        <f t="shared" si="3"/>
        <v>5.05353872707623</v>
      </c>
      <c r="P120" s="50"/>
      <c r="Q120" s="50"/>
      <c r="R120" s="50"/>
      <c r="S120" s="50"/>
      <c r="T120" s="50"/>
      <c r="U120" s="50"/>
      <c r="V120" s="50"/>
      <c r="W120" s="50"/>
      <c r="X120" s="50"/>
      <c r="Y120" s="50"/>
    </row>
    <row r="121" spans="12:25">
      <c r="L121" s="50">
        <v>7.9</v>
      </c>
      <c r="M121" s="50"/>
      <c r="N121" s="50" t="s">
        <v>676</v>
      </c>
      <c r="O121" s="50">
        <f t="shared" si="3"/>
        <v>2.6172306588407013</v>
      </c>
      <c r="P121" s="50"/>
      <c r="Q121" s="50"/>
      <c r="R121" s="50"/>
      <c r="S121" s="50"/>
      <c r="T121" s="50"/>
      <c r="U121" s="50"/>
      <c r="V121" s="50"/>
      <c r="W121" s="50"/>
      <c r="X121" s="50"/>
      <c r="Y121" s="50"/>
    </row>
    <row r="122" spans="12:25">
      <c r="L122" s="50">
        <v>5</v>
      </c>
      <c r="M122" s="50"/>
      <c r="N122" s="50" t="s">
        <v>675</v>
      </c>
      <c r="O122" s="50">
        <f t="shared" si="3"/>
        <v>0.65534689655612266</v>
      </c>
      <c r="P122" s="50"/>
      <c r="Q122" s="50"/>
      <c r="R122" s="50"/>
      <c r="S122" s="50"/>
      <c r="T122" s="50"/>
      <c r="U122" s="50"/>
      <c r="V122" s="50"/>
      <c r="W122" s="50"/>
      <c r="X122" s="50"/>
      <c r="Y122" s="50"/>
    </row>
    <row r="123" spans="12:25">
      <c r="L123" s="50">
        <v>4.9000000000000004</v>
      </c>
      <c r="M123" s="50"/>
      <c r="N123" s="50" t="s">
        <v>674</v>
      </c>
      <c r="O123" s="50">
        <f t="shared" si="3"/>
        <v>0.73874770473057416</v>
      </c>
      <c r="P123" s="50"/>
      <c r="Q123" s="50"/>
      <c r="R123" s="50"/>
      <c r="S123" s="50"/>
      <c r="T123" s="50"/>
      <c r="U123" s="50"/>
      <c r="V123" s="50"/>
      <c r="W123" s="50"/>
      <c r="X123" s="50"/>
      <c r="Y123" s="50"/>
    </row>
    <row r="124" spans="12:25">
      <c r="L124" s="50">
        <v>6.3</v>
      </c>
      <c r="M124" s="50"/>
      <c r="N124" s="50" t="s">
        <v>673</v>
      </c>
      <c r="O124" s="50">
        <f t="shared" si="3"/>
        <v>0.55574006516490282</v>
      </c>
      <c r="P124" s="50"/>
      <c r="Q124" s="50"/>
      <c r="R124" s="50"/>
      <c r="S124" s="50"/>
      <c r="T124" s="50"/>
      <c r="U124" s="50"/>
      <c r="V124" s="50"/>
      <c r="W124" s="50"/>
      <c r="X124" s="50"/>
      <c r="Y124" s="50"/>
    </row>
    <row r="125" spans="12:25">
      <c r="L125" s="50">
        <v>7.6</v>
      </c>
      <c r="M125" s="50"/>
      <c r="N125" s="50" t="s">
        <v>672</v>
      </c>
      <c r="O125" s="50">
        <f t="shared" si="3"/>
        <v>0.48861333272415153</v>
      </c>
      <c r="P125" s="50"/>
      <c r="Q125" s="50"/>
      <c r="R125" s="50"/>
      <c r="S125" s="50"/>
      <c r="T125" s="50"/>
      <c r="U125" s="50"/>
      <c r="V125" s="50"/>
      <c r="W125" s="50"/>
      <c r="X125" s="50"/>
      <c r="Y125" s="50"/>
    </row>
    <row r="126" spans="12:25">
      <c r="L126" s="50">
        <v>7.8</v>
      </c>
      <c r="M126" s="50"/>
      <c r="N126" s="50" t="s">
        <v>671</v>
      </c>
      <c r="O126" s="50">
        <f t="shared" si="3"/>
        <v>0.29646400077216795</v>
      </c>
      <c r="P126" s="50"/>
      <c r="Q126" s="50"/>
      <c r="R126" s="50"/>
      <c r="S126" s="50"/>
      <c r="T126" s="50"/>
      <c r="U126" s="50"/>
      <c r="V126" s="50"/>
      <c r="W126" s="50"/>
      <c r="X126" s="50"/>
      <c r="Y126" s="50"/>
    </row>
    <row r="127" spans="12:25">
      <c r="L127" s="50">
        <v>12.1</v>
      </c>
      <c r="M127" s="50"/>
      <c r="N127" s="50" t="s">
        <v>670</v>
      </c>
      <c r="O127" s="50">
        <f t="shared" si="3"/>
        <v>0.58448864650982735</v>
      </c>
      <c r="P127" s="50"/>
      <c r="Q127" s="50"/>
      <c r="R127" s="50"/>
      <c r="S127" s="50"/>
      <c r="T127" s="50"/>
      <c r="U127" s="50"/>
      <c r="V127" s="50"/>
      <c r="W127" s="50"/>
      <c r="X127" s="50"/>
      <c r="Y127" s="50"/>
    </row>
    <row r="128" spans="12:25">
      <c r="L128" s="50">
        <v>15.1</v>
      </c>
      <c r="M128" s="50"/>
      <c r="N128" s="50" t="s">
        <v>669</v>
      </c>
      <c r="O128" s="50">
        <f t="shared" si="3"/>
        <v>0.20669168032555427</v>
      </c>
      <c r="P128" s="50"/>
      <c r="Q128" s="50"/>
      <c r="R128" s="50"/>
      <c r="S128" s="50"/>
      <c r="T128" s="50"/>
      <c r="U128" s="50"/>
      <c r="V128" s="50"/>
      <c r="W128" s="50"/>
      <c r="X128" s="50"/>
      <c r="Y128" s="50"/>
    </row>
    <row r="129" spans="12:18">
      <c r="L129" s="50">
        <v>15.5</v>
      </c>
      <c r="M129" s="50"/>
      <c r="N129" s="50" t="s">
        <v>668</v>
      </c>
      <c r="O129" s="50">
        <f t="shared" si="3"/>
        <v>0.21256240123619866</v>
      </c>
      <c r="P129" s="50"/>
      <c r="Q129" s="50"/>
      <c r="R129" s="50"/>
    </row>
    <row r="130" spans="12:18">
      <c r="L130" s="50">
        <v>16.600000000000001</v>
      </c>
      <c r="M130" s="50"/>
      <c r="N130" s="50" t="s">
        <v>667</v>
      </c>
      <c r="O130" s="50">
        <f t="shared" si="3"/>
        <v>0.37683416078006626</v>
      </c>
      <c r="P130" s="50"/>
      <c r="Q130" s="50"/>
      <c r="R130" s="50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CA5EB-2695-4D9D-8F8C-15341BC11F8F}">
  <dimension ref="A1:H260"/>
  <sheetViews>
    <sheetView workbookViewId="0">
      <selection activeCell="D43" sqref="D43"/>
    </sheetView>
  </sheetViews>
  <sheetFormatPr defaultColWidth="8.85546875" defaultRowHeight="12.75"/>
  <cols>
    <col min="1" max="1" width="15.42578125" style="50" customWidth="1"/>
    <col min="2" max="2" width="12.85546875" style="50" customWidth="1"/>
    <col min="3" max="3" width="36.28515625" style="50" customWidth="1"/>
    <col min="4" max="4" width="10.28515625" style="50" customWidth="1"/>
    <col min="5" max="5" width="10.5703125" style="50" customWidth="1"/>
    <col min="6" max="16384" width="8.85546875" style="50"/>
  </cols>
  <sheetData>
    <row r="1" spans="1:7" ht="17.25">
      <c r="A1" s="50" t="s">
        <v>666</v>
      </c>
      <c r="B1" s="50">
        <v>256</v>
      </c>
      <c r="C1" s="50" t="s">
        <v>665</v>
      </c>
      <c r="F1" s="50">
        <f>B3/(2*B2)</f>
        <v>0.5</v>
      </c>
      <c r="G1" s="50" t="s">
        <v>664</v>
      </c>
    </row>
    <row r="2" spans="1:7">
      <c r="A2" s="50" t="s">
        <v>663</v>
      </c>
      <c r="B2" s="54">
        <f>COUNTA(B5:B1048576)</f>
        <v>256</v>
      </c>
      <c r="C2" s="50" t="s">
        <v>662</v>
      </c>
      <c r="F2" s="54">
        <f>(2*F1)/B3</f>
        <v>3.90625E-3</v>
      </c>
      <c r="G2" s="50" t="s">
        <v>661</v>
      </c>
    </row>
    <row r="3" spans="1:7">
      <c r="B3" s="54">
        <v>256</v>
      </c>
      <c r="C3" s="50" t="s">
        <v>660</v>
      </c>
      <c r="E3" s="54"/>
      <c r="F3" s="54"/>
    </row>
    <row r="4" spans="1:7">
      <c r="A4" s="49" t="s">
        <v>659</v>
      </c>
      <c r="B4" s="49" t="s">
        <v>658</v>
      </c>
      <c r="C4" s="49" t="s">
        <v>657</v>
      </c>
      <c r="D4" s="49" t="s">
        <v>66</v>
      </c>
      <c r="E4" s="49" t="s">
        <v>656</v>
      </c>
      <c r="F4" s="49" t="s">
        <v>655</v>
      </c>
      <c r="G4" s="49"/>
    </row>
    <row r="5" spans="1:7">
      <c r="A5" s="50" t="s">
        <v>654</v>
      </c>
      <c r="B5" s="50">
        <v>143.19999999999999</v>
      </c>
      <c r="C5" s="50" t="s">
        <v>653</v>
      </c>
      <c r="D5" s="50">
        <f t="shared" ref="D5:D68" si="0">2*IMABS(C5)/$B$1</f>
        <v>166.51640624999999</v>
      </c>
      <c r="E5" s="50">
        <v>0</v>
      </c>
      <c r="F5" s="54">
        <f>D5^2/2</f>
        <v>13863.856775207518</v>
      </c>
    </row>
    <row r="6" spans="1:7">
      <c r="A6" s="50" t="s">
        <v>652</v>
      </c>
      <c r="B6" s="50">
        <v>102</v>
      </c>
      <c r="C6" s="50" t="s">
        <v>651</v>
      </c>
      <c r="D6" s="50">
        <f t="shared" si="0"/>
        <v>13.640047533759692</v>
      </c>
      <c r="E6" s="50">
        <f>F2</f>
        <v>3.90625E-3</v>
      </c>
      <c r="F6" s="50">
        <f t="shared" ref="F6:F69" si="1">D6^2</f>
        <v>186.05089672322384</v>
      </c>
    </row>
    <row r="7" spans="1:7">
      <c r="A7" s="50" t="s">
        <v>650</v>
      </c>
      <c r="B7" s="50">
        <v>75.2</v>
      </c>
      <c r="C7" s="50" t="s">
        <v>649</v>
      </c>
      <c r="D7" s="50">
        <f t="shared" si="0"/>
        <v>14.418553676562741</v>
      </c>
      <c r="E7" s="50">
        <f t="shared" ref="E7:E70" si="2">E6+$E$6</f>
        <v>7.8125E-3</v>
      </c>
      <c r="F7" s="50">
        <f t="shared" si="1"/>
        <v>207.89469012392095</v>
      </c>
    </row>
    <row r="8" spans="1:7">
      <c r="A8" s="50" t="s">
        <v>648</v>
      </c>
      <c r="B8" s="50">
        <v>60.7</v>
      </c>
      <c r="C8" s="50" t="s">
        <v>647</v>
      </c>
      <c r="D8" s="50">
        <f t="shared" si="0"/>
        <v>21.582757616655147</v>
      </c>
      <c r="E8" s="50">
        <f t="shared" si="2"/>
        <v>1.171875E-2</v>
      </c>
      <c r="F8" s="50">
        <f t="shared" si="1"/>
        <v>465.81542633928575</v>
      </c>
    </row>
    <row r="9" spans="1:7">
      <c r="A9" s="50" t="s">
        <v>646</v>
      </c>
      <c r="B9" s="50">
        <v>34.799999999999997</v>
      </c>
      <c r="C9" s="50" t="s">
        <v>645</v>
      </c>
      <c r="D9" s="50">
        <f t="shared" si="0"/>
        <v>14.494473058123241</v>
      </c>
      <c r="E9" s="50">
        <f t="shared" si="2"/>
        <v>1.5625E-2</v>
      </c>
      <c r="F9" s="50">
        <f t="shared" si="1"/>
        <v>210.08974923266049</v>
      </c>
    </row>
    <row r="10" spans="1:7">
      <c r="A10" s="50" t="s">
        <v>644</v>
      </c>
      <c r="B10" s="50">
        <v>19</v>
      </c>
      <c r="C10" s="50" t="s">
        <v>643</v>
      </c>
      <c r="D10" s="50">
        <f t="shared" si="0"/>
        <v>13.445665637965552</v>
      </c>
      <c r="E10" s="50">
        <f t="shared" si="2"/>
        <v>1.953125E-2</v>
      </c>
      <c r="F10" s="50">
        <f t="shared" si="1"/>
        <v>180.7859244479676</v>
      </c>
    </row>
    <row r="11" spans="1:7">
      <c r="A11" s="50" t="s">
        <v>642</v>
      </c>
      <c r="B11" s="50">
        <v>63</v>
      </c>
      <c r="C11" s="50" t="s">
        <v>641</v>
      </c>
      <c r="D11" s="50">
        <f t="shared" si="0"/>
        <v>10.120727970896278</v>
      </c>
      <c r="E11" s="50">
        <f t="shared" si="2"/>
        <v>2.34375E-2</v>
      </c>
      <c r="F11" s="50">
        <f t="shared" si="1"/>
        <v>102.42913466088228</v>
      </c>
    </row>
    <row r="12" spans="1:7">
      <c r="A12" s="50" t="s">
        <v>640</v>
      </c>
      <c r="B12" s="50">
        <v>116.3</v>
      </c>
      <c r="C12" s="50" t="s">
        <v>639</v>
      </c>
      <c r="D12" s="50">
        <f t="shared" si="0"/>
        <v>3.4887072825181762</v>
      </c>
      <c r="E12" s="50">
        <f t="shared" si="2"/>
        <v>2.734375E-2</v>
      </c>
      <c r="F12" s="50">
        <f t="shared" si="1"/>
        <v>12.171078503095357</v>
      </c>
    </row>
    <row r="13" spans="1:7">
      <c r="A13" s="50" t="s">
        <v>638</v>
      </c>
      <c r="B13" s="50">
        <v>176.8</v>
      </c>
      <c r="C13" s="50" t="s">
        <v>637</v>
      </c>
      <c r="D13" s="50">
        <f t="shared" si="0"/>
        <v>3.4431031753238117</v>
      </c>
      <c r="E13" s="50">
        <f t="shared" si="2"/>
        <v>3.125E-2</v>
      </c>
      <c r="F13" s="50">
        <f t="shared" si="1"/>
        <v>11.854959475924915</v>
      </c>
    </row>
    <row r="14" spans="1:7">
      <c r="A14" s="50" t="s">
        <v>636</v>
      </c>
      <c r="B14" s="50">
        <v>168</v>
      </c>
      <c r="C14" s="50" t="s">
        <v>635</v>
      </c>
      <c r="D14" s="50">
        <f t="shared" si="0"/>
        <v>6.8269759177132316</v>
      </c>
      <c r="E14" s="50">
        <f t="shared" si="2"/>
        <v>3.515625E-2</v>
      </c>
      <c r="F14" s="50">
        <f t="shared" si="1"/>
        <v>46.607600181036425</v>
      </c>
    </row>
    <row r="15" spans="1:7">
      <c r="A15" s="50" t="s">
        <v>634</v>
      </c>
      <c r="B15" s="50">
        <v>136</v>
      </c>
      <c r="C15" s="50" t="s">
        <v>633</v>
      </c>
      <c r="D15" s="50">
        <f t="shared" si="0"/>
        <v>5.3750926214192223</v>
      </c>
      <c r="E15" s="50">
        <f t="shared" si="2"/>
        <v>3.90625E-2</v>
      </c>
      <c r="F15" s="50">
        <f t="shared" si="1"/>
        <v>28.891620688835367</v>
      </c>
    </row>
    <row r="16" spans="1:7">
      <c r="A16" s="50" t="s">
        <v>632</v>
      </c>
      <c r="B16" s="50">
        <v>110.8</v>
      </c>
      <c r="C16" s="50" t="s">
        <v>631</v>
      </c>
      <c r="D16" s="50">
        <f t="shared" si="0"/>
        <v>2.7150827525149155</v>
      </c>
      <c r="E16" s="50">
        <f t="shared" si="2"/>
        <v>4.296875E-2</v>
      </c>
      <c r="F16" s="50">
        <f t="shared" si="1"/>
        <v>7.3716743530039697</v>
      </c>
    </row>
    <row r="17" spans="1:8">
      <c r="A17" s="50" t="s">
        <v>630</v>
      </c>
      <c r="B17" s="50">
        <v>58</v>
      </c>
      <c r="C17" s="50" t="s">
        <v>629</v>
      </c>
      <c r="D17" s="50">
        <f t="shared" si="0"/>
        <v>10.835535451848155</v>
      </c>
      <c r="E17" s="50">
        <f t="shared" si="2"/>
        <v>4.6875E-2</v>
      </c>
      <c r="F17" s="50">
        <f t="shared" si="1"/>
        <v>117.40882852825821</v>
      </c>
    </row>
    <row r="18" spans="1:8">
      <c r="A18" s="50" t="s">
        <v>628</v>
      </c>
      <c r="B18" s="50">
        <v>51</v>
      </c>
      <c r="C18" s="50" t="s">
        <v>627</v>
      </c>
      <c r="D18" s="50">
        <f t="shared" si="0"/>
        <v>2.3037539704081689</v>
      </c>
      <c r="E18" s="50">
        <f t="shared" si="2"/>
        <v>5.078125E-2</v>
      </c>
      <c r="F18" s="50">
        <f t="shared" si="1"/>
        <v>5.3072823561714024</v>
      </c>
    </row>
    <row r="19" spans="1:8">
      <c r="A19" s="50" t="s">
        <v>626</v>
      </c>
      <c r="B19" s="50">
        <v>11.7</v>
      </c>
      <c r="C19" s="50" t="s">
        <v>625</v>
      </c>
      <c r="D19" s="50">
        <f t="shared" si="0"/>
        <v>4.7403261298036048</v>
      </c>
      <c r="E19" s="50">
        <f t="shared" si="2"/>
        <v>5.46875E-2</v>
      </c>
      <c r="F19" s="50">
        <f t="shared" si="1"/>
        <v>22.470691816898821</v>
      </c>
    </row>
    <row r="20" spans="1:8">
      <c r="A20" s="50" t="s">
        <v>624</v>
      </c>
      <c r="B20" s="50">
        <v>33</v>
      </c>
      <c r="C20" s="50" t="s">
        <v>623</v>
      </c>
      <c r="D20" s="50">
        <f t="shared" si="0"/>
        <v>3.5857951722024786</v>
      </c>
      <c r="E20" s="50">
        <f t="shared" si="2"/>
        <v>5.859375E-2</v>
      </c>
      <c r="F20" s="50">
        <f t="shared" si="1"/>
        <v>12.857927016990603</v>
      </c>
    </row>
    <row r="21" spans="1:8">
      <c r="A21" s="50" t="s">
        <v>622</v>
      </c>
      <c r="B21" s="50">
        <v>154.19999999999999</v>
      </c>
      <c r="C21" s="50" t="s">
        <v>621</v>
      </c>
      <c r="D21" s="50">
        <f t="shared" si="0"/>
        <v>4.3463446194579545</v>
      </c>
      <c r="E21" s="50">
        <f t="shared" si="2"/>
        <v>6.25E-2</v>
      </c>
      <c r="F21" s="50">
        <f t="shared" si="1"/>
        <v>18.890711551091112</v>
      </c>
    </row>
    <row r="22" spans="1:8">
      <c r="A22" s="50" t="s">
        <v>620</v>
      </c>
      <c r="B22" s="50">
        <v>257.3</v>
      </c>
      <c r="C22" s="50" t="s">
        <v>619</v>
      </c>
      <c r="D22" s="50">
        <f t="shared" si="0"/>
        <v>11.624855611678292</v>
      </c>
      <c r="E22" s="50">
        <f t="shared" si="2"/>
        <v>6.640625E-2</v>
      </c>
      <c r="F22" s="50">
        <f t="shared" si="1"/>
        <v>135.13726799236829</v>
      </c>
    </row>
    <row r="23" spans="1:8">
      <c r="A23" s="50" t="s">
        <v>618</v>
      </c>
      <c r="B23" s="50">
        <v>209.8</v>
      </c>
      <c r="C23" s="50" t="s">
        <v>617</v>
      </c>
      <c r="D23" s="50">
        <f t="shared" si="0"/>
        <v>10.583428310739135</v>
      </c>
      <c r="E23" s="50">
        <f t="shared" si="2"/>
        <v>7.03125E-2</v>
      </c>
      <c r="F23" s="50">
        <f t="shared" si="1"/>
        <v>112.00895480855463</v>
      </c>
    </row>
    <row r="24" spans="1:8">
      <c r="A24" s="50" t="s">
        <v>616</v>
      </c>
      <c r="B24" s="50">
        <v>141.30000000000001</v>
      </c>
      <c r="C24" s="50" t="s">
        <v>615</v>
      </c>
      <c r="D24" s="50">
        <f t="shared" si="0"/>
        <v>4.8009426022520083</v>
      </c>
      <c r="E24" s="50">
        <f t="shared" si="2"/>
        <v>7.421875E-2</v>
      </c>
      <c r="F24" s="50">
        <f t="shared" si="1"/>
        <v>23.049049870118285</v>
      </c>
    </row>
    <row r="25" spans="1:8">
      <c r="A25" s="50" t="s">
        <v>614</v>
      </c>
      <c r="B25" s="50">
        <v>113.5</v>
      </c>
      <c r="C25" s="50" t="s">
        <v>613</v>
      </c>
      <c r="D25" s="50">
        <f t="shared" si="0"/>
        <v>3.9452645242204079</v>
      </c>
      <c r="E25" s="50">
        <f t="shared" si="2"/>
        <v>7.8125E-2</v>
      </c>
      <c r="F25" s="50">
        <f t="shared" si="1"/>
        <v>15.565112166072081</v>
      </c>
    </row>
    <row r="26" spans="1:8">
      <c r="A26" s="50" t="s">
        <v>612</v>
      </c>
      <c r="B26" s="50">
        <v>64.2</v>
      </c>
      <c r="C26" s="50" t="s">
        <v>611</v>
      </c>
      <c r="D26" s="50">
        <f t="shared" si="0"/>
        <v>8.9523787144726317</v>
      </c>
      <c r="E26" s="50">
        <f t="shared" si="2"/>
        <v>8.203125E-2</v>
      </c>
      <c r="F26" s="50">
        <f t="shared" si="1"/>
        <v>80.145084647342642</v>
      </c>
    </row>
    <row r="27" spans="1:8">
      <c r="A27" s="50" t="s">
        <v>610</v>
      </c>
      <c r="B27" s="50">
        <v>38</v>
      </c>
      <c r="C27" s="50" t="s">
        <v>609</v>
      </c>
      <c r="D27" s="50">
        <f t="shared" si="0"/>
        <v>25.104997918782516</v>
      </c>
      <c r="E27" s="50">
        <f t="shared" si="2"/>
        <v>8.59375E-2</v>
      </c>
      <c r="F27" s="50">
        <f t="shared" si="1"/>
        <v>630.26092050207444</v>
      </c>
    </row>
    <row r="28" spans="1:8">
      <c r="A28" s="50" t="s">
        <v>608</v>
      </c>
      <c r="B28" s="50">
        <v>17</v>
      </c>
      <c r="C28" s="50" t="s">
        <v>607</v>
      </c>
      <c r="D28" s="50">
        <f t="shared" si="0"/>
        <v>41.315173454230873</v>
      </c>
      <c r="E28" s="53">
        <f t="shared" si="2"/>
        <v>8.984375E-2</v>
      </c>
      <c r="F28" s="53">
        <f t="shared" si="1"/>
        <v>1706.9435575531834</v>
      </c>
      <c r="G28" s="53">
        <f>1/E28</f>
        <v>11.130434782608695</v>
      </c>
      <c r="H28" s="50" t="s">
        <v>606</v>
      </c>
    </row>
    <row r="29" spans="1:8">
      <c r="A29" s="50" t="s">
        <v>605</v>
      </c>
      <c r="B29" s="50">
        <v>40.200000000000003</v>
      </c>
      <c r="C29" s="50" t="s">
        <v>604</v>
      </c>
      <c r="D29" s="50">
        <f t="shared" si="0"/>
        <v>38.651485055523082</v>
      </c>
      <c r="E29" s="50">
        <f t="shared" si="2"/>
        <v>9.375E-2</v>
      </c>
      <c r="F29" s="50">
        <f t="shared" si="1"/>
        <v>1493.9372969973242</v>
      </c>
    </row>
    <row r="30" spans="1:8">
      <c r="A30" s="50" t="s">
        <v>603</v>
      </c>
      <c r="B30" s="50">
        <v>138.19999999999999</v>
      </c>
      <c r="C30" s="50" t="s">
        <v>602</v>
      </c>
      <c r="D30" s="50">
        <f t="shared" si="0"/>
        <v>19.221586604840091</v>
      </c>
      <c r="E30" s="50">
        <f t="shared" si="2"/>
        <v>9.765625E-2</v>
      </c>
      <c r="F30" s="50">
        <f t="shared" si="1"/>
        <v>369.46939160736804</v>
      </c>
    </row>
    <row r="31" spans="1:8">
      <c r="A31" s="50" t="s">
        <v>601</v>
      </c>
      <c r="B31" s="50">
        <v>220</v>
      </c>
      <c r="C31" s="50" t="s">
        <v>600</v>
      </c>
      <c r="D31" s="50">
        <f t="shared" si="0"/>
        <v>21.555399268716489</v>
      </c>
      <c r="E31" s="50">
        <f t="shared" si="2"/>
        <v>0.1015625</v>
      </c>
      <c r="F31" s="50">
        <f t="shared" si="1"/>
        <v>464.63523763378333</v>
      </c>
    </row>
    <row r="32" spans="1:8">
      <c r="A32" s="50" t="s">
        <v>599</v>
      </c>
      <c r="B32" s="50">
        <v>218.2</v>
      </c>
      <c r="C32" s="50" t="s">
        <v>598</v>
      </c>
      <c r="D32" s="50">
        <f t="shared" si="0"/>
        <v>9.9729331694090426</v>
      </c>
      <c r="E32" s="50">
        <f t="shared" si="2"/>
        <v>0.10546875</v>
      </c>
      <c r="F32" s="50">
        <f t="shared" si="1"/>
        <v>99.459396001499087</v>
      </c>
    </row>
    <row r="33" spans="1:6">
      <c r="A33" s="50" t="s">
        <v>597</v>
      </c>
      <c r="B33" s="50">
        <v>196.8</v>
      </c>
      <c r="C33" s="50" t="s">
        <v>596</v>
      </c>
      <c r="D33" s="50">
        <f t="shared" si="0"/>
        <v>8.9615179790618438</v>
      </c>
      <c r="E33" s="50">
        <f t="shared" si="2"/>
        <v>0.109375</v>
      </c>
      <c r="F33" s="50">
        <f t="shared" si="1"/>
        <v>80.308804489048669</v>
      </c>
    </row>
    <row r="34" spans="1:6">
      <c r="A34" s="50" t="s">
        <v>595</v>
      </c>
      <c r="B34" s="50">
        <v>149.80000000000001</v>
      </c>
      <c r="C34" s="50" t="s">
        <v>594</v>
      </c>
      <c r="D34" s="50">
        <f t="shared" si="0"/>
        <v>13.698144208791271</v>
      </c>
      <c r="E34" s="50">
        <f t="shared" si="2"/>
        <v>0.11328125</v>
      </c>
      <c r="F34" s="50">
        <f t="shared" si="1"/>
        <v>187.63915476484186</v>
      </c>
    </row>
    <row r="35" spans="1:6">
      <c r="A35" s="50" t="s">
        <v>593</v>
      </c>
      <c r="B35" s="50">
        <v>111</v>
      </c>
      <c r="C35" s="50" t="s">
        <v>592</v>
      </c>
      <c r="D35" s="50">
        <f t="shared" si="0"/>
        <v>14.989690477875092</v>
      </c>
      <c r="E35" s="50">
        <f t="shared" si="2"/>
        <v>0.1171875</v>
      </c>
      <c r="F35" s="50">
        <f t="shared" si="1"/>
        <v>224.69082062249919</v>
      </c>
    </row>
    <row r="36" spans="1:6">
      <c r="A36" s="50" t="s">
        <v>591</v>
      </c>
      <c r="B36" s="50">
        <v>100</v>
      </c>
      <c r="C36" s="50" t="s">
        <v>590</v>
      </c>
      <c r="D36" s="50">
        <f t="shared" si="0"/>
        <v>7.8054712759019083</v>
      </c>
      <c r="E36" s="50">
        <f t="shared" si="2"/>
        <v>0.12109375</v>
      </c>
      <c r="F36" s="50">
        <f t="shared" si="1"/>
        <v>60.925381838929766</v>
      </c>
    </row>
    <row r="37" spans="1:6">
      <c r="A37" s="50" t="s">
        <v>589</v>
      </c>
      <c r="B37" s="50">
        <v>78.2</v>
      </c>
      <c r="C37" s="50" t="s">
        <v>588</v>
      </c>
      <c r="D37" s="50">
        <f t="shared" si="0"/>
        <v>10.060242412005341</v>
      </c>
      <c r="E37" s="50">
        <f t="shared" si="2"/>
        <v>0.125</v>
      </c>
      <c r="F37" s="50">
        <f t="shared" si="1"/>
        <v>101.20847738831104</v>
      </c>
    </row>
    <row r="38" spans="1:6">
      <c r="A38" s="50" t="s">
        <v>587</v>
      </c>
      <c r="B38" s="50">
        <v>68.3</v>
      </c>
      <c r="C38" s="50" t="s">
        <v>586</v>
      </c>
      <c r="D38" s="50">
        <f t="shared" si="0"/>
        <v>7.6608332154372212</v>
      </c>
      <c r="E38" s="50">
        <f t="shared" si="2"/>
        <v>0.12890625</v>
      </c>
      <c r="F38" s="50">
        <f t="shared" si="1"/>
        <v>58.688365554746191</v>
      </c>
    </row>
    <row r="39" spans="1:6">
      <c r="A39" s="50" t="s">
        <v>585</v>
      </c>
      <c r="B39" s="50">
        <v>35.5</v>
      </c>
      <c r="C39" s="50" t="s">
        <v>584</v>
      </c>
      <c r="D39" s="50">
        <f t="shared" si="0"/>
        <v>8.3231124877556582</v>
      </c>
      <c r="E39" s="50">
        <f t="shared" si="2"/>
        <v>0.1328125</v>
      </c>
      <c r="F39" s="50">
        <f t="shared" si="1"/>
        <v>69.274201483834176</v>
      </c>
    </row>
    <row r="40" spans="1:6">
      <c r="A40" s="50" t="s">
        <v>583</v>
      </c>
      <c r="B40" s="50">
        <v>26.7</v>
      </c>
      <c r="C40" s="50" t="s">
        <v>582</v>
      </c>
      <c r="D40" s="50">
        <f t="shared" si="0"/>
        <v>3.2260380664390218</v>
      </c>
      <c r="E40" s="50">
        <f t="shared" si="2"/>
        <v>0.13671875</v>
      </c>
      <c r="F40" s="50">
        <f t="shared" si="1"/>
        <v>10.407321606113623</v>
      </c>
    </row>
    <row r="41" spans="1:6">
      <c r="A41" s="50" t="s">
        <v>581</v>
      </c>
      <c r="B41" s="50">
        <v>10.7</v>
      </c>
      <c r="C41" s="50" t="s">
        <v>580</v>
      </c>
      <c r="D41" s="50">
        <f t="shared" si="0"/>
        <v>4.7350519163865288</v>
      </c>
      <c r="E41" s="50">
        <f t="shared" si="2"/>
        <v>0.140625</v>
      </c>
      <c r="F41" s="50">
        <f t="shared" si="1"/>
        <v>22.42071665087574</v>
      </c>
    </row>
    <row r="42" spans="1:6">
      <c r="A42" s="50" t="s">
        <v>579</v>
      </c>
      <c r="B42" s="50">
        <v>6.8</v>
      </c>
      <c r="C42" s="50" t="s">
        <v>578</v>
      </c>
      <c r="D42" s="50">
        <f t="shared" si="0"/>
        <v>1.3944365424549181</v>
      </c>
      <c r="E42" s="50">
        <f t="shared" si="2"/>
        <v>0.14453125</v>
      </c>
      <c r="F42" s="50">
        <f t="shared" si="1"/>
        <v>1.9444532709336266</v>
      </c>
    </row>
    <row r="43" spans="1:6">
      <c r="A43" s="50" t="s">
        <v>577</v>
      </c>
      <c r="B43" s="50">
        <v>11.3</v>
      </c>
      <c r="C43" s="50" t="s">
        <v>576</v>
      </c>
      <c r="D43" s="50">
        <f t="shared" si="0"/>
        <v>4.5556057864556312</v>
      </c>
      <c r="E43" s="50">
        <f t="shared" si="2"/>
        <v>0.1484375</v>
      </c>
      <c r="F43" s="50">
        <f t="shared" si="1"/>
        <v>20.753544081588029</v>
      </c>
    </row>
    <row r="44" spans="1:6">
      <c r="A44" s="50" t="s">
        <v>575</v>
      </c>
      <c r="B44" s="50">
        <v>24.2</v>
      </c>
      <c r="C44" s="50" t="s">
        <v>574</v>
      </c>
      <c r="D44" s="50">
        <f t="shared" si="0"/>
        <v>0.72598685619628511</v>
      </c>
      <c r="E44" s="50">
        <f t="shared" si="2"/>
        <v>0.15234375</v>
      </c>
      <c r="F44" s="50">
        <f t="shared" si="1"/>
        <v>0.52705691536976551</v>
      </c>
    </row>
    <row r="45" spans="1:6">
      <c r="A45" s="50" t="s">
        <v>573</v>
      </c>
      <c r="B45" s="50">
        <v>56.7</v>
      </c>
      <c r="C45" s="50" t="s">
        <v>572</v>
      </c>
      <c r="D45" s="50">
        <f t="shared" si="0"/>
        <v>2.5121385271941707</v>
      </c>
      <c r="E45" s="50">
        <f t="shared" si="2"/>
        <v>0.15625</v>
      </c>
      <c r="F45" s="50">
        <f t="shared" si="1"/>
        <v>6.3108399798132977</v>
      </c>
    </row>
    <row r="46" spans="1:6">
      <c r="A46" s="50" t="s">
        <v>571</v>
      </c>
      <c r="B46" s="50">
        <v>75</v>
      </c>
      <c r="C46" s="50" t="s">
        <v>570</v>
      </c>
      <c r="D46" s="50">
        <f t="shared" si="0"/>
        <v>1.9400922899675046</v>
      </c>
      <c r="E46" s="50">
        <f t="shared" si="2"/>
        <v>0.16015625</v>
      </c>
      <c r="F46" s="50">
        <f t="shared" si="1"/>
        <v>3.7639580935913561</v>
      </c>
    </row>
    <row r="47" spans="1:6">
      <c r="A47" s="50" t="s">
        <v>569</v>
      </c>
      <c r="B47" s="50">
        <v>71.8</v>
      </c>
      <c r="C47" s="50" t="s">
        <v>568</v>
      </c>
      <c r="D47" s="50">
        <f t="shared" si="0"/>
        <v>3.7167470588513427</v>
      </c>
      <c r="E47" s="50">
        <f t="shared" si="2"/>
        <v>0.1640625</v>
      </c>
      <c r="F47" s="50">
        <f t="shared" si="1"/>
        <v>13.814208699480107</v>
      </c>
    </row>
    <row r="48" spans="1:6">
      <c r="A48" s="50" t="s">
        <v>567</v>
      </c>
      <c r="B48" s="50">
        <v>79.2</v>
      </c>
      <c r="C48" s="50" t="s">
        <v>566</v>
      </c>
      <c r="D48" s="50">
        <f t="shared" si="0"/>
        <v>4.0506261165282718</v>
      </c>
      <c r="E48" s="50">
        <f t="shared" si="2"/>
        <v>0.16796875</v>
      </c>
      <c r="F48" s="50">
        <f t="shared" si="1"/>
        <v>16.407571935900908</v>
      </c>
    </row>
    <row r="49" spans="1:6">
      <c r="A49" s="50" t="s">
        <v>565</v>
      </c>
      <c r="B49" s="50">
        <v>70.3</v>
      </c>
      <c r="C49" s="50" t="s">
        <v>564</v>
      </c>
      <c r="D49" s="50">
        <f t="shared" si="0"/>
        <v>5.0341226569767947</v>
      </c>
      <c r="E49" s="50">
        <f t="shared" si="2"/>
        <v>0.171875</v>
      </c>
      <c r="F49" s="50">
        <f t="shared" si="1"/>
        <v>25.342390925487102</v>
      </c>
    </row>
    <row r="50" spans="1:6">
      <c r="A50" s="50" t="s">
        <v>563</v>
      </c>
      <c r="B50" s="50">
        <v>46.8</v>
      </c>
      <c r="C50" s="50" t="s">
        <v>562</v>
      </c>
      <c r="D50" s="50">
        <f t="shared" si="0"/>
        <v>7.5877346990172576</v>
      </c>
      <c r="E50" s="50">
        <f t="shared" si="2"/>
        <v>0.17578125</v>
      </c>
      <c r="F50" s="50">
        <f t="shared" si="1"/>
        <v>57.573717862670513</v>
      </c>
    </row>
    <row r="51" spans="1:6">
      <c r="A51" s="50" t="s">
        <v>561</v>
      </c>
      <c r="B51" s="50">
        <v>16.8</v>
      </c>
      <c r="C51" s="50" t="s">
        <v>560</v>
      </c>
      <c r="D51" s="50">
        <f t="shared" si="0"/>
        <v>1.6178842717617361</v>
      </c>
      <c r="E51" s="50">
        <f t="shared" si="2"/>
        <v>0.1796875</v>
      </c>
      <c r="F51" s="50">
        <f t="shared" si="1"/>
        <v>2.6175495168140031</v>
      </c>
    </row>
    <row r="52" spans="1:6">
      <c r="A52" s="50" t="s">
        <v>559</v>
      </c>
      <c r="B52" s="50">
        <v>13.5</v>
      </c>
      <c r="C52" s="50" t="s">
        <v>558</v>
      </c>
      <c r="D52" s="50">
        <f t="shared" si="0"/>
        <v>9.6178815194884173</v>
      </c>
      <c r="E52" s="50">
        <f t="shared" si="2"/>
        <v>0.18359375</v>
      </c>
      <c r="F52" s="50">
        <f t="shared" si="1"/>
        <v>92.50364492291682</v>
      </c>
    </row>
    <row r="53" spans="1:6">
      <c r="A53" s="50" t="s">
        <v>557</v>
      </c>
      <c r="B53" s="50">
        <v>4.2</v>
      </c>
      <c r="C53" s="50" t="s">
        <v>556</v>
      </c>
      <c r="D53" s="50">
        <f t="shared" si="0"/>
        <v>3.8438782639895384</v>
      </c>
      <c r="E53" s="50">
        <f t="shared" si="2"/>
        <v>0.1875</v>
      </c>
      <c r="F53" s="50">
        <f t="shared" si="1"/>
        <v>14.775400108371228</v>
      </c>
    </row>
    <row r="54" spans="1:6">
      <c r="A54" s="50" t="s">
        <v>555</v>
      </c>
      <c r="B54" s="50">
        <v>0</v>
      </c>
      <c r="C54" s="50" t="s">
        <v>554</v>
      </c>
      <c r="D54" s="50">
        <f t="shared" si="0"/>
        <v>3.635143980390438</v>
      </c>
      <c r="E54" s="50">
        <f t="shared" si="2"/>
        <v>0.19140625</v>
      </c>
      <c r="F54" s="50">
        <f t="shared" si="1"/>
        <v>13.214271758168836</v>
      </c>
    </row>
    <row r="55" spans="1:6">
      <c r="A55" s="50" t="s">
        <v>553</v>
      </c>
      <c r="B55" s="50">
        <v>2.2999999999999998</v>
      </c>
      <c r="C55" s="50" t="s">
        <v>552</v>
      </c>
      <c r="D55" s="50">
        <f t="shared" si="0"/>
        <v>4.4466617939114004</v>
      </c>
      <c r="E55" s="50">
        <f t="shared" si="2"/>
        <v>0.1953125</v>
      </c>
      <c r="F55" s="50">
        <f t="shared" si="1"/>
        <v>19.772801109431352</v>
      </c>
    </row>
    <row r="56" spans="1:6">
      <c r="A56" s="50" t="s">
        <v>551</v>
      </c>
      <c r="B56" s="50">
        <v>8.3000000000000007</v>
      </c>
      <c r="C56" s="50" t="s">
        <v>550</v>
      </c>
      <c r="D56" s="50">
        <f t="shared" si="0"/>
        <v>3.5236373038946738</v>
      </c>
      <c r="E56" s="50">
        <f t="shared" si="2"/>
        <v>0.19921875</v>
      </c>
      <c r="F56" s="50">
        <f t="shared" si="1"/>
        <v>12.416019849398126</v>
      </c>
    </row>
    <row r="57" spans="1:6">
      <c r="A57" s="50" t="s">
        <v>549</v>
      </c>
      <c r="B57" s="50">
        <v>20.3</v>
      </c>
      <c r="C57" s="50" t="s">
        <v>548</v>
      </c>
      <c r="D57" s="50">
        <f t="shared" si="0"/>
        <v>1.2912886085263187</v>
      </c>
      <c r="E57" s="50">
        <f t="shared" si="2"/>
        <v>0.203125</v>
      </c>
      <c r="F57" s="50">
        <f t="shared" si="1"/>
        <v>1.6674262705098362</v>
      </c>
    </row>
    <row r="58" spans="1:6">
      <c r="A58" s="50" t="s">
        <v>547</v>
      </c>
      <c r="B58" s="50">
        <v>23.2</v>
      </c>
      <c r="C58" s="50" t="s">
        <v>546</v>
      </c>
      <c r="D58" s="50">
        <f t="shared" si="0"/>
        <v>6.1620448103892453</v>
      </c>
      <c r="E58" s="50">
        <f t="shared" si="2"/>
        <v>0.20703125</v>
      </c>
      <c r="F58" s="50">
        <f t="shared" si="1"/>
        <v>37.970796245245033</v>
      </c>
    </row>
    <row r="59" spans="1:6">
      <c r="A59" s="50" t="s">
        <v>545</v>
      </c>
      <c r="B59" s="50">
        <v>59</v>
      </c>
      <c r="C59" s="50" t="s">
        <v>544</v>
      </c>
      <c r="D59" s="50">
        <f t="shared" si="0"/>
        <v>0.45007463717524226</v>
      </c>
      <c r="E59" s="50">
        <f t="shared" si="2"/>
        <v>0.2109375</v>
      </c>
      <c r="F59" s="50">
        <f t="shared" si="1"/>
        <v>0.20256717902842597</v>
      </c>
    </row>
    <row r="60" spans="1:6">
      <c r="A60" s="50" t="s">
        <v>543</v>
      </c>
      <c r="B60" s="50">
        <v>76.3</v>
      </c>
      <c r="C60" s="50" t="s">
        <v>542</v>
      </c>
      <c r="D60" s="50">
        <f t="shared" si="0"/>
        <v>1.6528015999880645</v>
      </c>
      <c r="E60" s="50">
        <f t="shared" si="2"/>
        <v>0.21484375</v>
      </c>
      <c r="F60" s="50">
        <f t="shared" si="1"/>
        <v>2.7317531289231063</v>
      </c>
    </row>
    <row r="61" spans="1:6">
      <c r="A61" s="50" t="s">
        <v>541</v>
      </c>
      <c r="B61" s="50">
        <v>68.3</v>
      </c>
      <c r="C61" s="50" t="s">
        <v>540</v>
      </c>
      <c r="D61" s="50">
        <f t="shared" si="0"/>
        <v>3.6742439970982321</v>
      </c>
      <c r="E61" s="50">
        <f t="shared" si="2"/>
        <v>0.21875</v>
      </c>
      <c r="F61" s="50">
        <f t="shared" si="1"/>
        <v>13.500068950212393</v>
      </c>
    </row>
    <row r="62" spans="1:6">
      <c r="A62" s="50" t="s">
        <v>539</v>
      </c>
      <c r="B62" s="50">
        <v>52.9</v>
      </c>
      <c r="C62" s="50" t="s">
        <v>538</v>
      </c>
      <c r="D62" s="50">
        <f t="shared" si="0"/>
        <v>2.6042132946050578</v>
      </c>
      <c r="E62" s="50">
        <f t="shared" si="2"/>
        <v>0.22265625</v>
      </c>
      <c r="F62" s="50">
        <f t="shared" si="1"/>
        <v>6.7819268837977296</v>
      </c>
    </row>
    <row r="63" spans="1:6">
      <c r="A63" s="50" t="s">
        <v>537</v>
      </c>
      <c r="B63" s="50">
        <v>38.5</v>
      </c>
      <c r="C63" s="50" t="s">
        <v>536</v>
      </c>
      <c r="D63" s="50">
        <f t="shared" si="0"/>
        <v>1.87749955722742</v>
      </c>
      <c r="E63" s="50">
        <f t="shared" si="2"/>
        <v>0.2265625</v>
      </c>
      <c r="F63" s="50">
        <f t="shared" si="1"/>
        <v>3.5250045873891582</v>
      </c>
    </row>
    <row r="64" spans="1:6">
      <c r="A64" s="50" t="s">
        <v>535</v>
      </c>
      <c r="B64" s="50">
        <v>24.2</v>
      </c>
      <c r="C64" s="50" t="s">
        <v>534</v>
      </c>
      <c r="D64" s="50">
        <f t="shared" si="0"/>
        <v>2.2700215495055702</v>
      </c>
      <c r="E64" s="50">
        <f t="shared" si="2"/>
        <v>0.23046875</v>
      </c>
      <c r="F64" s="50">
        <f t="shared" si="1"/>
        <v>5.1529978352196704</v>
      </c>
    </row>
    <row r="65" spans="1:6">
      <c r="A65" s="50" t="s">
        <v>533</v>
      </c>
      <c r="B65" s="50">
        <v>9.1999999999999993</v>
      </c>
      <c r="C65" s="50" t="s">
        <v>532</v>
      </c>
      <c r="D65" s="50">
        <f t="shared" si="0"/>
        <v>0.83321348970577536</v>
      </c>
      <c r="E65" s="50">
        <f t="shared" si="2"/>
        <v>0.234375</v>
      </c>
      <c r="F65" s="50">
        <f t="shared" si="1"/>
        <v>0.69424471942767618</v>
      </c>
    </row>
    <row r="66" spans="1:6">
      <c r="A66" s="50" t="s">
        <v>531</v>
      </c>
      <c r="B66" s="50">
        <v>6.3</v>
      </c>
      <c r="C66" s="50" t="s">
        <v>530</v>
      </c>
      <c r="D66" s="50">
        <f t="shared" si="0"/>
        <v>2.8994066819593693</v>
      </c>
      <c r="E66" s="50">
        <f t="shared" si="2"/>
        <v>0.23828125</v>
      </c>
      <c r="F66" s="50">
        <f t="shared" si="1"/>
        <v>8.4065591073906401</v>
      </c>
    </row>
    <row r="67" spans="1:6">
      <c r="A67" s="50" t="s">
        <v>529</v>
      </c>
      <c r="B67" s="50">
        <v>2.2000000000000002</v>
      </c>
      <c r="C67" s="50" t="s">
        <v>528</v>
      </c>
      <c r="D67" s="50">
        <f t="shared" si="0"/>
        <v>2.7423792917699603</v>
      </c>
      <c r="E67" s="50">
        <f t="shared" si="2"/>
        <v>0.2421875</v>
      </c>
      <c r="F67" s="50">
        <f t="shared" si="1"/>
        <v>7.5206441799287091</v>
      </c>
    </row>
    <row r="68" spans="1:6">
      <c r="A68" s="50" t="s">
        <v>527</v>
      </c>
      <c r="B68" s="50">
        <v>11.4</v>
      </c>
      <c r="C68" s="50" t="s">
        <v>526</v>
      </c>
      <c r="D68" s="50">
        <f t="shared" si="0"/>
        <v>2.4075722722831658</v>
      </c>
      <c r="E68" s="50">
        <f t="shared" si="2"/>
        <v>0.24609375</v>
      </c>
      <c r="F68" s="50">
        <f t="shared" si="1"/>
        <v>5.796404246266726</v>
      </c>
    </row>
    <row r="69" spans="1:6">
      <c r="A69" s="50" t="s">
        <v>525</v>
      </c>
      <c r="B69" s="50">
        <v>28.2</v>
      </c>
      <c r="C69" s="50" t="s">
        <v>524</v>
      </c>
      <c r="D69" s="50">
        <f t="shared" ref="D69:D132" si="3">2*IMABS(C69)/$B$1</f>
        <v>2.0201501106914219</v>
      </c>
      <c r="E69" s="50">
        <f t="shared" si="2"/>
        <v>0.25</v>
      </c>
      <c r="F69" s="50">
        <f t="shared" si="1"/>
        <v>4.0810064697265647</v>
      </c>
    </row>
    <row r="70" spans="1:6">
      <c r="A70" s="50" t="s">
        <v>523</v>
      </c>
      <c r="B70" s="50">
        <v>59.9</v>
      </c>
      <c r="C70" s="50" t="s">
        <v>522</v>
      </c>
      <c r="D70" s="50">
        <f t="shared" si="3"/>
        <v>2.7902926867510645</v>
      </c>
      <c r="E70" s="50">
        <f t="shared" si="2"/>
        <v>0.25390625</v>
      </c>
      <c r="F70" s="50">
        <f t="shared" ref="F70:F133" si="4">D70^2</f>
        <v>7.7857332777364743</v>
      </c>
    </row>
    <row r="71" spans="1:6">
      <c r="A71" s="50" t="s">
        <v>521</v>
      </c>
      <c r="B71" s="50">
        <v>83</v>
      </c>
      <c r="C71" s="50" t="s">
        <v>520</v>
      </c>
      <c r="D71" s="50">
        <f t="shared" si="3"/>
        <v>2.8623374595675806</v>
      </c>
      <c r="E71" s="50">
        <f t="shared" ref="E71:E134" si="5">E70+$E$6</f>
        <v>0.2578125</v>
      </c>
      <c r="F71" s="50">
        <f t="shared" si="4"/>
        <v>8.1929757324437915</v>
      </c>
    </row>
    <row r="72" spans="1:6">
      <c r="A72" s="50" t="s">
        <v>519</v>
      </c>
      <c r="B72" s="50">
        <v>108.5</v>
      </c>
      <c r="C72" s="50" t="s">
        <v>518</v>
      </c>
      <c r="D72" s="50">
        <f t="shared" si="3"/>
        <v>0.25546762591607552</v>
      </c>
      <c r="E72" s="50">
        <f t="shared" si="5"/>
        <v>0.26171875</v>
      </c>
      <c r="F72" s="50">
        <f t="shared" si="4"/>
        <v>6.5263707891195899E-2</v>
      </c>
    </row>
    <row r="73" spans="1:6">
      <c r="A73" s="50" t="s">
        <v>517</v>
      </c>
      <c r="B73" s="50">
        <v>115.2</v>
      </c>
      <c r="C73" s="50" t="s">
        <v>516</v>
      </c>
      <c r="D73" s="50">
        <f t="shared" si="3"/>
        <v>1.1870049338233728</v>
      </c>
      <c r="E73" s="50">
        <f t="shared" si="5"/>
        <v>0.265625</v>
      </c>
      <c r="F73" s="50">
        <f t="shared" si="4"/>
        <v>1.4089807129210297</v>
      </c>
    </row>
    <row r="74" spans="1:6">
      <c r="A74" s="50" t="s">
        <v>515</v>
      </c>
      <c r="B74" s="50">
        <v>117.4</v>
      </c>
      <c r="C74" s="50" t="s">
        <v>514</v>
      </c>
      <c r="D74" s="50">
        <f t="shared" si="3"/>
        <v>1.8181912294158591</v>
      </c>
      <c r="E74" s="50">
        <f t="shared" si="5"/>
        <v>0.26953125</v>
      </c>
      <c r="F74" s="50">
        <f t="shared" si="4"/>
        <v>3.305819346724753</v>
      </c>
    </row>
    <row r="75" spans="1:6">
      <c r="A75" s="50" t="s">
        <v>513</v>
      </c>
      <c r="B75" s="50">
        <v>80.8</v>
      </c>
      <c r="C75" s="50" t="s">
        <v>512</v>
      </c>
      <c r="D75" s="50">
        <f t="shared" si="3"/>
        <v>1.5520531235152646</v>
      </c>
      <c r="E75" s="50">
        <f t="shared" si="5"/>
        <v>0.2734375</v>
      </c>
      <c r="F75" s="50">
        <f t="shared" si="4"/>
        <v>2.4088688982134894</v>
      </c>
    </row>
    <row r="76" spans="1:6">
      <c r="A76" s="50" t="s">
        <v>511</v>
      </c>
      <c r="B76" s="50">
        <v>44.3</v>
      </c>
      <c r="C76" s="50" t="s">
        <v>510</v>
      </c>
      <c r="D76" s="50">
        <f t="shared" si="3"/>
        <v>2.959063116177485</v>
      </c>
      <c r="E76" s="50">
        <f t="shared" si="5"/>
        <v>0.27734375</v>
      </c>
      <c r="F76" s="50">
        <f t="shared" si="4"/>
        <v>8.756054525522007</v>
      </c>
    </row>
    <row r="77" spans="1:6">
      <c r="A77" s="50" t="s">
        <v>509</v>
      </c>
      <c r="B77" s="50">
        <v>13.4</v>
      </c>
      <c r="C77" s="50" t="s">
        <v>508</v>
      </c>
      <c r="D77" s="50">
        <f t="shared" si="3"/>
        <v>1.1411525084812781</v>
      </c>
      <c r="E77" s="50">
        <f t="shared" si="5"/>
        <v>0.28125</v>
      </c>
      <c r="F77" s="50">
        <f t="shared" si="4"/>
        <v>1.3022290476131135</v>
      </c>
    </row>
    <row r="78" spans="1:6">
      <c r="A78" s="50" t="s">
        <v>507</v>
      </c>
      <c r="B78" s="50">
        <v>19.5</v>
      </c>
      <c r="C78" s="50" t="s">
        <v>506</v>
      </c>
      <c r="D78" s="50">
        <f t="shared" si="3"/>
        <v>1.9137951507017088</v>
      </c>
      <c r="E78" s="50">
        <f t="shared" si="5"/>
        <v>0.28515625</v>
      </c>
      <c r="F78" s="50">
        <f t="shared" si="4"/>
        <v>3.6626118788493764</v>
      </c>
    </row>
    <row r="79" spans="1:6">
      <c r="A79" s="50" t="s">
        <v>505</v>
      </c>
      <c r="B79" s="50">
        <v>85.8</v>
      </c>
      <c r="C79" s="50" t="s">
        <v>504</v>
      </c>
      <c r="D79" s="50">
        <f t="shared" si="3"/>
        <v>1.2808868612922224</v>
      </c>
      <c r="E79" s="50">
        <f t="shared" si="5"/>
        <v>0.2890625</v>
      </c>
      <c r="F79" s="50">
        <f t="shared" si="4"/>
        <v>1.640671151431041</v>
      </c>
    </row>
    <row r="80" spans="1:6">
      <c r="A80" s="50" t="s">
        <v>503</v>
      </c>
      <c r="B80" s="50">
        <v>192.7</v>
      </c>
      <c r="C80" s="50" t="s">
        <v>502</v>
      </c>
      <c r="D80" s="50">
        <f t="shared" si="3"/>
        <v>2.3142439366760521</v>
      </c>
      <c r="E80" s="50">
        <f t="shared" si="5"/>
        <v>0.29296875</v>
      </c>
      <c r="F80" s="50">
        <f t="shared" si="4"/>
        <v>5.3557249984418709</v>
      </c>
    </row>
    <row r="81" spans="1:6">
      <c r="A81" s="50" t="s">
        <v>501</v>
      </c>
      <c r="B81" s="50">
        <v>227.3</v>
      </c>
      <c r="C81" s="50" t="s">
        <v>500</v>
      </c>
      <c r="D81" s="50">
        <f t="shared" si="3"/>
        <v>1.159335621549701</v>
      </c>
      <c r="E81" s="50">
        <f t="shared" si="5"/>
        <v>0.296875</v>
      </c>
      <c r="F81" s="50">
        <f t="shared" si="4"/>
        <v>1.3440590833940316</v>
      </c>
    </row>
    <row r="82" spans="1:6">
      <c r="A82" s="50" t="s">
        <v>499</v>
      </c>
      <c r="B82" s="50">
        <v>168.7</v>
      </c>
      <c r="C82" s="50" t="s">
        <v>498</v>
      </c>
      <c r="D82" s="50">
        <f t="shared" si="3"/>
        <v>0.5097896272186947</v>
      </c>
      <c r="E82" s="50">
        <f t="shared" si="5"/>
        <v>0.30078125</v>
      </c>
      <c r="F82" s="50">
        <f t="shared" si="4"/>
        <v>0.25988546401977569</v>
      </c>
    </row>
    <row r="83" spans="1:6">
      <c r="A83" s="50" t="s">
        <v>497</v>
      </c>
      <c r="B83" s="50">
        <v>143</v>
      </c>
      <c r="C83" s="50" t="s">
        <v>496</v>
      </c>
      <c r="D83" s="50">
        <f t="shared" si="3"/>
        <v>1.4005189878902193</v>
      </c>
      <c r="E83" s="50">
        <f t="shared" si="5"/>
        <v>0.3046875</v>
      </c>
      <c r="F83" s="50">
        <f t="shared" si="4"/>
        <v>1.9614534354410442</v>
      </c>
    </row>
    <row r="84" spans="1:6">
      <c r="A84" s="50" t="s">
        <v>495</v>
      </c>
      <c r="B84" s="50">
        <v>105.5</v>
      </c>
      <c r="C84" s="50" t="s">
        <v>494</v>
      </c>
      <c r="D84" s="50">
        <f t="shared" si="3"/>
        <v>3.4234213819585944</v>
      </c>
      <c r="E84" s="50">
        <f t="shared" si="5"/>
        <v>0.30859375</v>
      </c>
      <c r="F84" s="50">
        <f t="shared" si="4"/>
        <v>11.719813958451292</v>
      </c>
    </row>
    <row r="85" spans="1:6">
      <c r="A85" s="50" t="s">
        <v>493</v>
      </c>
      <c r="B85" s="50">
        <v>63.3</v>
      </c>
      <c r="C85" s="50" t="s">
        <v>492</v>
      </c>
      <c r="D85" s="50">
        <f t="shared" si="3"/>
        <v>3.8170220968454234</v>
      </c>
      <c r="E85" s="50">
        <f t="shared" si="5"/>
        <v>0.3125</v>
      </c>
      <c r="F85" s="50">
        <f t="shared" si="4"/>
        <v>14.569657687806233</v>
      </c>
    </row>
    <row r="86" spans="1:6">
      <c r="A86" s="50" t="s">
        <v>491</v>
      </c>
      <c r="B86" s="50">
        <v>40.299999999999997</v>
      </c>
      <c r="C86" s="50" t="s">
        <v>490</v>
      </c>
      <c r="D86" s="50">
        <f t="shared" si="3"/>
        <v>1.6034113236529997</v>
      </c>
      <c r="E86" s="50">
        <f t="shared" si="5"/>
        <v>0.31640625</v>
      </c>
      <c r="F86" s="50">
        <f t="shared" si="4"/>
        <v>2.5709278728186642</v>
      </c>
    </row>
    <row r="87" spans="1:6">
      <c r="A87" s="50" t="s">
        <v>489</v>
      </c>
      <c r="B87" s="50">
        <v>18.100000000000001</v>
      </c>
      <c r="C87" s="50" t="s">
        <v>488</v>
      </c>
      <c r="D87" s="50">
        <f t="shared" si="3"/>
        <v>1.5877420939206985</v>
      </c>
      <c r="E87" s="50">
        <f t="shared" si="5"/>
        <v>0.3203125</v>
      </c>
      <c r="F87" s="50">
        <f t="shared" si="4"/>
        <v>2.5209249568076841</v>
      </c>
    </row>
    <row r="88" spans="1:6">
      <c r="A88" s="50" t="s">
        <v>487</v>
      </c>
      <c r="B88" s="50">
        <v>25.1</v>
      </c>
      <c r="C88" s="50" t="s">
        <v>486</v>
      </c>
      <c r="D88" s="50">
        <f t="shared" si="3"/>
        <v>1.6098791813957762</v>
      </c>
      <c r="E88" s="50">
        <f t="shared" si="5"/>
        <v>0.32421875</v>
      </c>
      <c r="F88" s="50">
        <f t="shared" si="4"/>
        <v>2.5917109786915344</v>
      </c>
    </row>
    <row r="89" spans="1:6">
      <c r="A89" s="50" t="s">
        <v>485</v>
      </c>
      <c r="B89" s="50">
        <v>65.8</v>
      </c>
      <c r="C89" s="50" t="s">
        <v>484</v>
      </c>
      <c r="D89" s="50">
        <f t="shared" si="3"/>
        <v>0.28717807866891776</v>
      </c>
      <c r="E89" s="50">
        <f t="shared" si="5"/>
        <v>0.328125</v>
      </c>
      <c r="F89" s="50">
        <f t="shared" si="4"/>
        <v>8.2471248867971123E-2</v>
      </c>
    </row>
    <row r="90" spans="1:6">
      <c r="A90" s="50" t="s">
        <v>483</v>
      </c>
      <c r="B90" s="50">
        <v>102.7</v>
      </c>
      <c r="C90" s="50" t="s">
        <v>482</v>
      </c>
      <c r="D90" s="50">
        <f t="shared" si="3"/>
        <v>0.44076956209951174</v>
      </c>
      <c r="E90" s="50">
        <f t="shared" si="5"/>
        <v>0.33203125</v>
      </c>
      <c r="F90" s="50">
        <f t="shared" si="4"/>
        <v>0.19427780687339533</v>
      </c>
    </row>
    <row r="91" spans="1:6">
      <c r="A91" s="50" t="s">
        <v>481</v>
      </c>
      <c r="B91" s="50">
        <v>166.3</v>
      </c>
      <c r="C91" s="50" t="s">
        <v>480</v>
      </c>
      <c r="D91" s="50">
        <f t="shared" si="3"/>
        <v>0.47887270526606929</v>
      </c>
      <c r="E91" s="50">
        <f t="shared" si="5"/>
        <v>0.3359375</v>
      </c>
      <c r="F91" s="50">
        <f t="shared" si="4"/>
        <v>0.22931906784884368</v>
      </c>
    </row>
    <row r="92" spans="1:6">
      <c r="A92" s="50" t="s">
        <v>479</v>
      </c>
      <c r="B92" s="50">
        <v>208.3</v>
      </c>
      <c r="C92" s="50" t="s">
        <v>478</v>
      </c>
      <c r="D92" s="50">
        <f t="shared" si="3"/>
        <v>0.99709915394130066</v>
      </c>
      <c r="E92" s="50">
        <f t="shared" si="5"/>
        <v>0.33984375</v>
      </c>
      <c r="F92" s="50">
        <f t="shared" si="4"/>
        <v>0.99420672279045763</v>
      </c>
    </row>
    <row r="93" spans="1:6">
      <c r="A93" s="50" t="s">
        <v>477</v>
      </c>
      <c r="B93" s="50">
        <v>182.5</v>
      </c>
      <c r="C93" s="50" t="s">
        <v>476</v>
      </c>
      <c r="D93" s="50">
        <f t="shared" si="3"/>
        <v>2.2152155100013036</v>
      </c>
      <c r="E93" s="50">
        <f t="shared" si="5"/>
        <v>0.34375</v>
      </c>
      <c r="F93" s="50">
        <f t="shared" si="4"/>
        <v>4.9071797557503354</v>
      </c>
    </row>
    <row r="94" spans="1:6">
      <c r="A94" s="50" t="s">
        <v>475</v>
      </c>
      <c r="B94" s="50">
        <v>126.3</v>
      </c>
      <c r="C94" s="50" t="s">
        <v>474</v>
      </c>
      <c r="D94" s="50">
        <f t="shared" si="3"/>
        <v>1.6606820729310867</v>
      </c>
      <c r="E94" s="50">
        <f t="shared" si="5"/>
        <v>0.34765625</v>
      </c>
      <c r="F94" s="50">
        <f t="shared" si="4"/>
        <v>2.7578649473546912</v>
      </c>
    </row>
    <row r="95" spans="1:6">
      <c r="A95" s="50" t="s">
        <v>473</v>
      </c>
      <c r="B95" s="50">
        <v>122</v>
      </c>
      <c r="C95" s="50" t="s">
        <v>472</v>
      </c>
      <c r="D95" s="50">
        <f t="shared" si="3"/>
        <v>1.7131527733584435</v>
      </c>
      <c r="E95" s="50">
        <f t="shared" si="5"/>
        <v>0.3515625</v>
      </c>
      <c r="F95" s="50">
        <f t="shared" si="4"/>
        <v>2.9348924248657267</v>
      </c>
    </row>
    <row r="96" spans="1:6">
      <c r="A96" s="50" t="s">
        <v>471</v>
      </c>
      <c r="B96" s="50">
        <v>102.7</v>
      </c>
      <c r="C96" s="50" t="s">
        <v>470</v>
      </c>
      <c r="D96" s="50">
        <f t="shared" si="3"/>
        <v>1.7080191773907478</v>
      </c>
      <c r="E96" s="50">
        <f t="shared" si="5"/>
        <v>0.35546875</v>
      </c>
      <c r="F96" s="50">
        <f t="shared" si="4"/>
        <v>2.9173295103345667</v>
      </c>
    </row>
    <row r="97" spans="1:6">
      <c r="A97" s="50" t="s">
        <v>469</v>
      </c>
      <c r="B97" s="50">
        <v>74.099999999999994</v>
      </c>
      <c r="C97" s="50" t="s">
        <v>468</v>
      </c>
      <c r="D97" s="50">
        <f t="shared" si="3"/>
        <v>2.4645402017411997</v>
      </c>
      <c r="E97" s="50">
        <f t="shared" si="5"/>
        <v>0.359375</v>
      </c>
      <c r="F97" s="50">
        <f t="shared" si="4"/>
        <v>6.0739584059985532</v>
      </c>
    </row>
    <row r="98" spans="1:6">
      <c r="A98" s="50" t="s">
        <v>467</v>
      </c>
      <c r="B98" s="50">
        <v>39</v>
      </c>
      <c r="C98" s="50" t="s">
        <v>466</v>
      </c>
      <c r="D98" s="50">
        <f t="shared" si="3"/>
        <v>1.2707826310752881</v>
      </c>
      <c r="E98" s="50">
        <f t="shared" si="5"/>
        <v>0.36328125</v>
      </c>
      <c r="F98" s="50">
        <f t="shared" si="4"/>
        <v>1.6148884954426317</v>
      </c>
    </row>
    <row r="99" spans="1:6">
      <c r="A99" s="50" t="s">
        <v>465</v>
      </c>
      <c r="B99" s="50">
        <v>12.7</v>
      </c>
      <c r="C99" s="50" t="s">
        <v>464</v>
      </c>
      <c r="D99" s="50">
        <f t="shared" si="3"/>
        <v>1.2899000830176091</v>
      </c>
      <c r="E99" s="50">
        <f t="shared" si="5"/>
        <v>0.3671875</v>
      </c>
      <c r="F99" s="50">
        <f t="shared" si="4"/>
        <v>1.6638422241688346</v>
      </c>
    </row>
    <row r="100" spans="1:6">
      <c r="A100" s="50" t="s">
        <v>463</v>
      </c>
      <c r="B100" s="50">
        <v>8.1999999999999993</v>
      </c>
      <c r="C100" s="50" t="s">
        <v>462</v>
      </c>
      <c r="D100" s="50">
        <f t="shared" si="3"/>
        <v>0.52385705640390667</v>
      </c>
      <c r="E100" s="50">
        <f t="shared" si="5"/>
        <v>0.37109375</v>
      </c>
      <c r="F100" s="50">
        <f t="shared" si="4"/>
        <v>0.27442621554416585</v>
      </c>
    </row>
    <row r="101" spans="1:6">
      <c r="A101" s="50" t="s">
        <v>461</v>
      </c>
      <c r="B101" s="50">
        <v>43.4</v>
      </c>
      <c r="C101" s="50" t="s">
        <v>460</v>
      </c>
      <c r="D101" s="50">
        <f t="shared" si="3"/>
        <v>0.74510145358978463</v>
      </c>
      <c r="E101" s="50">
        <f t="shared" si="5"/>
        <v>0.375</v>
      </c>
      <c r="F101" s="50">
        <f t="shared" si="4"/>
        <v>0.55517617614160997</v>
      </c>
    </row>
    <row r="102" spans="1:6">
      <c r="A102" s="50" t="s">
        <v>459</v>
      </c>
      <c r="B102" s="50">
        <v>104.4</v>
      </c>
      <c r="C102" s="50" t="s">
        <v>458</v>
      </c>
      <c r="D102" s="50">
        <f t="shared" si="3"/>
        <v>1.7032712272364336</v>
      </c>
      <c r="E102" s="50">
        <f t="shared" si="5"/>
        <v>0.37890625</v>
      </c>
      <c r="F102" s="50">
        <f t="shared" si="4"/>
        <v>2.9011328735315067</v>
      </c>
    </row>
    <row r="103" spans="1:6">
      <c r="A103" s="50" t="s">
        <v>457</v>
      </c>
      <c r="B103" s="50">
        <v>178.3</v>
      </c>
      <c r="C103" s="50" t="s">
        <v>456</v>
      </c>
      <c r="D103" s="50">
        <f t="shared" si="3"/>
        <v>1.2695175570180828</v>
      </c>
      <c r="E103" s="50">
        <f t="shared" si="5"/>
        <v>0.3828125</v>
      </c>
      <c r="F103" s="50">
        <f t="shared" si="4"/>
        <v>1.6116748275771611</v>
      </c>
    </row>
    <row r="104" spans="1:6">
      <c r="A104" s="50" t="s">
        <v>455</v>
      </c>
      <c r="B104" s="50">
        <v>182.2</v>
      </c>
      <c r="C104" s="50" t="s">
        <v>454</v>
      </c>
      <c r="D104" s="50">
        <f t="shared" si="3"/>
        <v>0.6358678871044684</v>
      </c>
      <c r="E104" s="50">
        <f t="shared" si="5"/>
        <v>0.38671875</v>
      </c>
      <c r="F104" s="50">
        <f t="shared" si="4"/>
        <v>0.40432796985070096</v>
      </c>
    </row>
    <row r="105" spans="1:6">
      <c r="A105" s="50" t="s">
        <v>453</v>
      </c>
      <c r="B105" s="50">
        <v>146.6</v>
      </c>
      <c r="C105" s="50" t="s">
        <v>452</v>
      </c>
      <c r="D105" s="50">
        <f t="shared" si="3"/>
        <v>1.0176015796639943</v>
      </c>
      <c r="E105" s="50">
        <f t="shared" si="5"/>
        <v>0.390625</v>
      </c>
      <c r="F105" s="50">
        <f t="shared" si="4"/>
        <v>1.0355129749346565</v>
      </c>
    </row>
    <row r="106" spans="1:6">
      <c r="A106" s="50" t="s">
        <v>451</v>
      </c>
      <c r="B106" s="50">
        <v>112.1</v>
      </c>
      <c r="C106" s="50" t="s">
        <v>450</v>
      </c>
      <c r="D106" s="50">
        <f t="shared" si="3"/>
        <v>1.7234172917546247</v>
      </c>
      <c r="E106" s="50">
        <f t="shared" si="5"/>
        <v>0.39453125</v>
      </c>
      <c r="F106" s="50">
        <f t="shared" si="4"/>
        <v>2.970167161518845</v>
      </c>
    </row>
    <row r="107" spans="1:6">
      <c r="A107" s="50" t="s">
        <v>449</v>
      </c>
      <c r="B107" s="50">
        <v>83.5</v>
      </c>
      <c r="C107" s="50" t="s">
        <v>448</v>
      </c>
      <c r="D107" s="50">
        <f t="shared" si="3"/>
        <v>1.3930736508288524</v>
      </c>
      <c r="E107" s="50">
        <f t="shared" si="5"/>
        <v>0.3984375</v>
      </c>
      <c r="F107" s="50">
        <f t="shared" si="4"/>
        <v>1.9406541966336273</v>
      </c>
    </row>
    <row r="108" spans="1:6">
      <c r="A108" s="50" t="s">
        <v>447</v>
      </c>
      <c r="B108" s="50">
        <v>89.2</v>
      </c>
      <c r="C108" s="50" t="s">
        <v>446</v>
      </c>
      <c r="D108" s="50">
        <f t="shared" si="3"/>
        <v>1.4448949913118159</v>
      </c>
      <c r="E108" s="50">
        <f t="shared" si="5"/>
        <v>0.40234375</v>
      </c>
      <c r="F108" s="50">
        <f t="shared" si="4"/>
        <v>2.0877215359179724</v>
      </c>
    </row>
    <row r="109" spans="1:6">
      <c r="A109" s="50" t="s">
        <v>445</v>
      </c>
      <c r="B109" s="50">
        <v>57.8</v>
      </c>
      <c r="C109" s="50" t="s">
        <v>444</v>
      </c>
      <c r="D109" s="50">
        <f t="shared" si="3"/>
        <v>1.1644817512385766</v>
      </c>
      <c r="E109" s="50">
        <f t="shared" si="5"/>
        <v>0.40625</v>
      </c>
      <c r="F109" s="50">
        <f t="shared" si="4"/>
        <v>1.3560177489676621</v>
      </c>
    </row>
    <row r="110" spans="1:6">
      <c r="A110" s="50" t="s">
        <v>443</v>
      </c>
      <c r="B110" s="50">
        <v>30.7</v>
      </c>
      <c r="C110" s="50" t="s">
        <v>442</v>
      </c>
      <c r="D110" s="50">
        <f t="shared" si="3"/>
        <v>0.55887941645240469</v>
      </c>
      <c r="E110" s="50">
        <f t="shared" si="5"/>
        <v>0.41015625</v>
      </c>
      <c r="F110" s="50">
        <f t="shared" si="4"/>
        <v>0.31234620213418041</v>
      </c>
    </row>
    <row r="111" spans="1:6">
      <c r="A111" s="50" t="s">
        <v>441</v>
      </c>
      <c r="B111" s="50">
        <v>13.9</v>
      </c>
      <c r="C111" s="50" t="s">
        <v>440</v>
      </c>
      <c r="D111" s="50">
        <f t="shared" si="3"/>
        <v>0.90789589120859848</v>
      </c>
      <c r="E111" s="50">
        <f t="shared" si="5"/>
        <v>0.4140625</v>
      </c>
      <c r="F111" s="50">
        <f t="shared" si="4"/>
        <v>0.82427494927345524</v>
      </c>
    </row>
    <row r="112" spans="1:6">
      <c r="A112" s="50" t="s">
        <v>439</v>
      </c>
      <c r="B112" s="50">
        <v>62.8</v>
      </c>
      <c r="C112" s="50" t="s">
        <v>438</v>
      </c>
      <c r="D112" s="50">
        <f t="shared" si="3"/>
        <v>0.81198914695098356</v>
      </c>
      <c r="E112" s="50">
        <f t="shared" si="5"/>
        <v>0.41796875</v>
      </c>
      <c r="F112" s="50">
        <f t="shared" si="4"/>
        <v>0.65932637476618594</v>
      </c>
    </row>
    <row r="113" spans="1:6">
      <c r="A113" s="50" t="s">
        <v>437</v>
      </c>
      <c r="B113" s="50">
        <v>123.6</v>
      </c>
      <c r="C113" s="50" t="s">
        <v>436</v>
      </c>
      <c r="D113" s="50">
        <f t="shared" si="3"/>
        <v>1.91056190543312</v>
      </c>
      <c r="E113" s="50">
        <f t="shared" si="5"/>
        <v>0.421875</v>
      </c>
      <c r="F113" s="50">
        <f t="shared" si="4"/>
        <v>3.6502467944922343</v>
      </c>
    </row>
    <row r="114" spans="1:6">
      <c r="A114" s="50" t="s">
        <v>435</v>
      </c>
      <c r="B114" s="50">
        <v>232</v>
      </c>
      <c r="C114" s="50" t="s">
        <v>434</v>
      </c>
      <c r="D114" s="50">
        <f t="shared" si="3"/>
        <v>0.68853403025220561</v>
      </c>
      <c r="E114" s="50">
        <f t="shared" si="5"/>
        <v>0.42578125</v>
      </c>
      <c r="F114" s="50">
        <f t="shared" si="4"/>
        <v>0.47407911081534521</v>
      </c>
    </row>
    <row r="115" spans="1:6">
      <c r="A115" s="50" t="s">
        <v>433</v>
      </c>
      <c r="B115" s="50">
        <v>185.3</v>
      </c>
      <c r="C115" s="50" t="s">
        <v>432</v>
      </c>
      <c r="D115" s="50">
        <f t="shared" si="3"/>
        <v>2.1019243326691011</v>
      </c>
      <c r="E115" s="50">
        <f t="shared" si="5"/>
        <v>0.4296875</v>
      </c>
      <c r="F115" s="50">
        <f t="shared" si="4"/>
        <v>4.4180859002664459</v>
      </c>
    </row>
    <row r="116" spans="1:6">
      <c r="A116" s="50" t="s">
        <v>431</v>
      </c>
      <c r="B116" s="50">
        <v>169.2</v>
      </c>
      <c r="C116" s="50" t="s">
        <v>430</v>
      </c>
      <c r="D116" s="50">
        <f t="shared" si="3"/>
        <v>2.0263166451641186</v>
      </c>
      <c r="E116" s="50">
        <f t="shared" si="5"/>
        <v>0.43359375</v>
      </c>
      <c r="F116" s="50">
        <f t="shared" si="4"/>
        <v>4.1059591464691687</v>
      </c>
    </row>
    <row r="117" spans="1:6">
      <c r="A117" s="50" t="s">
        <v>429</v>
      </c>
      <c r="B117" s="50">
        <v>110.1</v>
      </c>
      <c r="C117" s="50" t="s">
        <v>428</v>
      </c>
      <c r="D117" s="50">
        <f t="shared" si="3"/>
        <v>0.68932618848965288</v>
      </c>
      <c r="E117" s="50">
        <f t="shared" si="5"/>
        <v>0.4375</v>
      </c>
      <c r="F117" s="50">
        <f t="shared" si="4"/>
        <v>0.47517059413767243</v>
      </c>
    </row>
    <row r="118" spans="1:6">
      <c r="A118" s="50" t="s">
        <v>427</v>
      </c>
      <c r="B118" s="50">
        <v>74.5</v>
      </c>
      <c r="C118" s="50" t="s">
        <v>426</v>
      </c>
      <c r="D118" s="50">
        <f t="shared" si="3"/>
        <v>0.67147212971155945</v>
      </c>
      <c r="E118" s="50">
        <f t="shared" si="5"/>
        <v>0.44140625</v>
      </c>
      <c r="F118" s="50">
        <f t="shared" si="4"/>
        <v>0.45087482097937731</v>
      </c>
    </row>
    <row r="119" spans="1:6">
      <c r="A119" s="50" t="s">
        <v>425</v>
      </c>
      <c r="B119" s="50">
        <v>28.3</v>
      </c>
      <c r="C119" s="50" t="s">
        <v>424</v>
      </c>
      <c r="D119" s="50">
        <f t="shared" si="3"/>
        <v>0.93768681571937373</v>
      </c>
      <c r="E119" s="50">
        <f t="shared" si="5"/>
        <v>0.4453125</v>
      </c>
      <c r="F119" s="50">
        <f t="shared" si="4"/>
        <v>0.87925656437393873</v>
      </c>
    </row>
    <row r="120" spans="1:6">
      <c r="A120" s="50" t="s">
        <v>423</v>
      </c>
      <c r="B120" s="50">
        <v>18.899999999999999</v>
      </c>
      <c r="C120" s="50" t="s">
        <v>422</v>
      </c>
      <c r="D120" s="50">
        <f t="shared" si="3"/>
        <v>0.62585733851104253</v>
      </c>
      <c r="E120" s="50">
        <f t="shared" si="5"/>
        <v>0.44921875</v>
      </c>
      <c r="F120" s="50">
        <f t="shared" si="4"/>
        <v>0.39169740816812565</v>
      </c>
    </row>
    <row r="121" spans="1:6">
      <c r="A121" s="50" t="s">
        <v>421</v>
      </c>
      <c r="B121" s="50">
        <v>20.7</v>
      </c>
      <c r="C121" s="50" t="s">
        <v>420</v>
      </c>
      <c r="D121" s="50">
        <f t="shared" si="3"/>
        <v>0.81126048970206588</v>
      </c>
      <c r="E121" s="50">
        <f t="shared" si="5"/>
        <v>0.453125</v>
      </c>
      <c r="F121" s="50">
        <f t="shared" si="4"/>
        <v>0.65814358215163571</v>
      </c>
    </row>
    <row r="122" spans="1:6">
      <c r="A122" s="50" t="s">
        <v>419</v>
      </c>
      <c r="B122" s="50">
        <v>5.7</v>
      </c>
      <c r="C122" s="50" t="s">
        <v>418</v>
      </c>
      <c r="D122" s="50">
        <f t="shared" si="3"/>
        <v>1.1534053240745328</v>
      </c>
      <c r="E122" s="50">
        <f t="shared" si="5"/>
        <v>0.45703125</v>
      </c>
      <c r="F122" s="50">
        <f t="shared" si="4"/>
        <v>1.3303438416034781</v>
      </c>
    </row>
    <row r="123" spans="1:6">
      <c r="A123" s="50" t="s">
        <v>417</v>
      </c>
      <c r="B123" s="50">
        <v>10</v>
      </c>
      <c r="C123" s="50" t="s">
        <v>416</v>
      </c>
      <c r="D123" s="50">
        <f t="shared" si="3"/>
        <v>2.0829266428186881</v>
      </c>
      <c r="E123" s="50">
        <f t="shared" si="5"/>
        <v>0.4609375</v>
      </c>
      <c r="F123" s="50">
        <f t="shared" si="4"/>
        <v>4.3385833993639311</v>
      </c>
    </row>
    <row r="124" spans="1:6">
      <c r="A124" s="50" t="s">
        <v>415</v>
      </c>
      <c r="B124" s="50">
        <v>53.7</v>
      </c>
      <c r="C124" s="50" t="s">
        <v>414</v>
      </c>
      <c r="D124" s="50">
        <f t="shared" si="3"/>
        <v>0.91350596312533883</v>
      </c>
      <c r="E124" s="50">
        <f t="shared" si="5"/>
        <v>0.46484375</v>
      </c>
      <c r="F124" s="50">
        <f t="shared" si="4"/>
        <v>0.83449314466555291</v>
      </c>
    </row>
    <row r="125" spans="1:6">
      <c r="A125" s="50" t="s">
        <v>413</v>
      </c>
      <c r="B125" s="50">
        <v>90.5</v>
      </c>
      <c r="C125" s="50" t="s">
        <v>412</v>
      </c>
      <c r="D125" s="50">
        <f t="shared" si="3"/>
        <v>2.3809212448292958</v>
      </c>
      <c r="E125" s="50">
        <f t="shared" si="5"/>
        <v>0.46875</v>
      </c>
      <c r="F125" s="50">
        <f t="shared" si="4"/>
        <v>5.6687859740794835</v>
      </c>
    </row>
    <row r="126" spans="1:6">
      <c r="A126" s="50" t="s">
        <v>411</v>
      </c>
      <c r="B126" s="50">
        <v>99</v>
      </c>
      <c r="C126" s="50" t="s">
        <v>410</v>
      </c>
      <c r="D126" s="50">
        <f t="shared" si="3"/>
        <v>1.7129675665467183</v>
      </c>
      <c r="E126" s="50">
        <f t="shared" si="5"/>
        <v>0.47265625</v>
      </c>
      <c r="F126" s="50">
        <f t="shared" si="4"/>
        <v>2.9342578840409859</v>
      </c>
    </row>
    <row r="127" spans="1:6">
      <c r="A127" s="50" t="s">
        <v>409</v>
      </c>
      <c r="B127" s="50">
        <v>106.1</v>
      </c>
      <c r="C127" s="50" t="s">
        <v>408</v>
      </c>
      <c r="D127" s="50">
        <f t="shared" si="3"/>
        <v>0.61835122061209624</v>
      </c>
      <c r="E127" s="50">
        <f t="shared" si="5"/>
        <v>0.4765625</v>
      </c>
      <c r="F127" s="50">
        <f t="shared" si="4"/>
        <v>0.38235823203246933</v>
      </c>
    </row>
    <row r="128" spans="1:6">
      <c r="A128" s="50" t="s">
        <v>407</v>
      </c>
      <c r="B128" s="50">
        <v>105.8</v>
      </c>
      <c r="C128" s="50" t="s">
        <v>406</v>
      </c>
      <c r="D128" s="50">
        <f t="shared" si="3"/>
        <v>1.3420968186894555</v>
      </c>
      <c r="E128" s="50">
        <f t="shared" si="5"/>
        <v>0.48046875</v>
      </c>
      <c r="F128" s="50">
        <f t="shared" si="4"/>
        <v>1.8012238707363573</v>
      </c>
    </row>
    <row r="129" spans="1:6">
      <c r="A129" s="50" t="s">
        <v>405</v>
      </c>
      <c r="B129" s="50">
        <v>86.3</v>
      </c>
      <c r="C129" s="50" t="s">
        <v>404</v>
      </c>
      <c r="D129" s="50">
        <f t="shared" si="3"/>
        <v>0.80816675987952158</v>
      </c>
      <c r="E129" s="50">
        <f t="shared" si="5"/>
        <v>0.484375</v>
      </c>
      <c r="F129" s="50">
        <f t="shared" si="4"/>
        <v>0.65313351177416434</v>
      </c>
    </row>
    <row r="130" spans="1:6">
      <c r="A130" s="50" t="s">
        <v>403</v>
      </c>
      <c r="B130" s="50">
        <v>42.4</v>
      </c>
      <c r="C130" s="50" t="s">
        <v>402</v>
      </c>
      <c r="D130" s="50">
        <f t="shared" si="3"/>
        <v>2.0975154170532497</v>
      </c>
      <c r="E130" s="50">
        <f t="shared" si="5"/>
        <v>0.48828125</v>
      </c>
      <c r="F130" s="50">
        <f t="shared" si="4"/>
        <v>4.3995709247760679</v>
      </c>
    </row>
    <row r="131" spans="1:6">
      <c r="A131" s="50" t="s">
        <v>401</v>
      </c>
      <c r="B131" s="50">
        <v>21.8</v>
      </c>
      <c r="C131" s="50" t="s">
        <v>400</v>
      </c>
      <c r="D131" s="50">
        <f t="shared" si="3"/>
        <v>1.5105947712954069</v>
      </c>
      <c r="E131" s="50">
        <f t="shared" si="5"/>
        <v>0.4921875</v>
      </c>
      <c r="F131" s="50">
        <f t="shared" si="4"/>
        <v>2.2818965630650228</v>
      </c>
    </row>
    <row r="132" spans="1:6">
      <c r="A132" s="50" t="s">
        <v>399</v>
      </c>
      <c r="B132" s="50">
        <v>11.2</v>
      </c>
      <c r="C132" s="50" t="s">
        <v>398</v>
      </c>
      <c r="D132" s="50">
        <f t="shared" si="3"/>
        <v>0.90477099144413642</v>
      </c>
      <c r="E132" s="50">
        <f t="shared" si="5"/>
        <v>0.49609375</v>
      </c>
      <c r="F132" s="50">
        <f t="shared" si="4"/>
        <v>0.81861054695880553</v>
      </c>
    </row>
    <row r="133" spans="1:6" s="53" customFormat="1">
      <c r="A133" s="53" t="s">
        <v>397</v>
      </c>
      <c r="B133" s="53">
        <v>10.4</v>
      </c>
      <c r="C133" s="53" t="s">
        <v>396</v>
      </c>
      <c r="D133" s="50">
        <f t="shared" ref="D133:D196" si="6">2*IMABS(C133)/$B$1</f>
        <v>0.44765625000000858</v>
      </c>
      <c r="E133" s="53">
        <f t="shared" si="5"/>
        <v>0.5</v>
      </c>
      <c r="F133" s="50">
        <f t="shared" si="4"/>
        <v>0.20039611816407019</v>
      </c>
    </row>
    <row r="134" spans="1:6">
      <c r="A134" s="50" t="s">
        <v>395</v>
      </c>
      <c r="B134" s="50">
        <v>11.8</v>
      </c>
      <c r="C134" s="50" t="s">
        <v>394</v>
      </c>
      <c r="D134" s="50">
        <f t="shared" si="6"/>
        <v>0.90477099144414463</v>
      </c>
      <c r="E134" s="50">
        <f t="shared" si="5"/>
        <v>0.50390625</v>
      </c>
      <c r="F134" s="50">
        <f t="shared" ref="F134:F197" si="7">D134^2</f>
        <v>0.81861054695882041</v>
      </c>
    </row>
    <row r="135" spans="1:6">
      <c r="A135" s="50" t="s">
        <v>393</v>
      </c>
      <c r="B135" s="50">
        <v>59.5</v>
      </c>
      <c r="C135" s="50" t="s">
        <v>392</v>
      </c>
      <c r="D135" s="50">
        <f t="shared" si="6"/>
        <v>1.5105947712953947</v>
      </c>
      <c r="E135" s="50">
        <f t="shared" ref="E135:E198" si="8">E134+$E$6</f>
        <v>0.5078125</v>
      </c>
      <c r="F135" s="50">
        <f t="shared" si="7"/>
        <v>2.2818965630649859</v>
      </c>
    </row>
    <row r="136" spans="1:6">
      <c r="A136" s="50" t="s">
        <v>391</v>
      </c>
      <c r="B136" s="50">
        <v>121.7</v>
      </c>
      <c r="C136" s="50" t="s">
        <v>390</v>
      </c>
      <c r="D136" s="50">
        <f t="shared" si="6"/>
        <v>2.0975154170532728</v>
      </c>
      <c r="E136" s="50">
        <f t="shared" si="8"/>
        <v>0.51171875</v>
      </c>
      <c r="F136" s="50">
        <f t="shared" si="7"/>
        <v>4.3995709247761647</v>
      </c>
    </row>
    <row r="137" spans="1:6">
      <c r="A137" s="50" t="s">
        <v>389</v>
      </c>
      <c r="B137" s="50">
        <v>142</v>
      </c>
      <c r="C137" s="50" t="s">
        <v>388</v>
      </c>
      <c r="D137" s="50">
        <f t="shared" si="6"/>
        <v>0.80816675987953202</v>
      </c>
      <c r="E137" s="50">
        <f t="shared" si="8"/>
        <v>0.515625</v>
      </c>
      <c r="F137" s="50">
        <f t="shared" si="7"/>
        <v>0.65313351177418111</v>
      </c>
    </row>
    <row r="138" spans="1:6">
      <c r="A138" s="50" t="s">
        <v>387</v>
      </c>
      <c r="B138" s="50">
        <v>130</v>
      </c>
      <c r="C138" s="50" t="s">
        <v>386</v>
      </c>
      <c r="D138" s="50">
        <f t="shared" si="6"/>
        <v>1.3420968186894477</v>
      </c>
      <c r="E138" s="50">
        <f t="shared" si="8"/>
        <v>0.51953125</v>
      </c>
      <c r="F138" s="50">
        <f t="shared" si="7"/>
        <v>1.8012238707363364</v>
      </c>
    </row>
    <row r="139" spans="1:6">
      <c r="A139" s="50" t="s">
        <v>385</v>
      </c>
      <c r="B139" s="50">
        <v>106.6</v>
      </c>
      <c r="C139" s="50" t="s">
        <v>384</v>
      </c>
      <c r="D139" s="50">
        <f t="shared" si="6"/>
        <v>0.61835122061209502</v>
      </c>
      <c r="E139" s="50">
        <f t="shared" si="8"/>
        <v>0.5234375</v>
      </c>
      <c r="F139" s="50">
        <f t="shared" si="7"/>
        <v>0.38235823203246783</v>
      </c>
    </row>
    <row r="140" spans="1:6">
      <c r="A140" s="50" t="s">
        <v>383</v>
      </c>
      <c r="B140" s="50">
        <v>69.400000000000006</v>
      </c>
      <c r="C140" s="50" t="s">
        <v>382</v>
      </c>
      <c r="D140" s="50">
        <f t="shared" si="6"/>
        <v>1.7129675665467183</v>
      </c>
      <c r="E140" s="50">
        <f t="shared" si="8"/>
        <v>0.52734375</v>
      </c>
      <c r="F140" s="50">
        <f t="shared" si="7"/>
        <v>2.9342578840409859</v>
      </c>
    </row>
    <row r="141" spans="1:6">
      <c r="A141" s="50" t="s">
        <v>381</v>
      </c>
      <c r="B141" s="50">
        <v>43.8</v>
      </c>
      <c r="C141" s="50" t="s">
        <v>380</v>
      </c>
      <c r="D141" s="50">
        <f t="shared" si="6"/>
        <v>2.3809212448292922</v>
      </c>
      <c r="E141" s="50">
        <f t="shared" si="8"/>
        <v>0.53125</v>
      </c>
      <c r="F141" s="50">
        <f t="shared" si="7"/>
        <v>5.6687859740794666</v>
      </c>
    </row>
    <row r="142" spans="1:6">
      <c r="A142" s="50" t="s">
        <v>379</v>
      </c>
      <c r="B142" s="50">
        <v>44.4</v>
      </c>
      <c r="C142" s="50" t="s">
        <v>378</v>
      </c>
      <c r="D142" s="50">
        <f t="shared" si="6"/>
        <v>0.91350596312533172</v>
      </c>
      <c r="E142" s="50">
        <f t="shared" si="8"/>
        <v>0.53515625</v>
      </c>
      <c r="F142" s="50">
        <f t="shared" si="7"/>
        <v>0.83449314466553992</v>
      </c>
    </row>
    <row r="143" spans="1:6">
      <c r="A143" s="50" t="s">
        <v>377</v>
      </c>
      <c r="B143" s="50">
        <v>20.2</v>
      </c>
      <c r="C143" s="50" t="s">
        <v>376</v>
      </c>
      <c r="D143" s="50">
        <f t="shared" si="6"/>
        <v>2.0829266428186908</v>
      </c>
      <c r="E143" s="50">
        <f t="shared" si="8"/>
        <v>0.5390625</v>
      </c>
      <c r="F143" s="50">
        <f t="shared" si="7"/>
        <v>4.3385833993639418</v>
      </c>
    </row>
    <row r="144" spans="1:6">
      <c r="A144" s="50" t="s">
        <v>375</v>
      </c>
      <c r="B144" s="50">
        <v>15.7</v>
      </c>
      <c r="C144" s="50" t="s">
        <v>374</v>
      </c>
      <c r="D144" s="50">
        <f t="shared" si="6"/>
        <v>1.1534053240745359</v>
      </c>
      <c r="E144" s="50">
        <f t="shared" si="8"/>
        <v>0.54296875</v>
      </c>
      <c r="F144" s="50">
        <f t="shared" si="7"/>
        <v>1.3303438416034852</v>
      </c>
    </row>
    <row r="145" spans="1:6">
      <c r="A145" s="50" t="s">
        <v>373</v>
      </c>
      <c r="B145" s="50">
        <v>4.5999999999999996</v>
      </c>
      <c r="C145" s="50" t="s">
        <v>372</v>
      </c>
      <c r="D145" s="50">
        <f t="shared" si="6"/>
        <v>0.81126048970206732</v>
      </c>
      <c r="E145" s="50">
        <f t="shared" si="8"/>
        <v>0.546875</v>
      </c>
      <c r="F145" s="50">
        <f t="shared" si="7"/>
        <v>0.65814358215163804</v>
      </c>
    </row>
    <row r="146" spans="1:6">
      <c r="A146" s="50" t="s">
        <v>371</v>
      </c>
      <c r="B146" s="50">
        <v>8.5</v>
      </c>
      <c r="C146" s="50" t="s">
        <v>370</v>
      </c>
      <c r="D146" s="50">
        <f t="shared" si="6"/>
        <v>0.6258573385110443</v>
      </c>
      <c r="E146" s="50">
        <f t="shared" si="8"/>
        <v>0.55078125</v>
      </c>
      <c r="F146" s="50">
        <f t="shared" si="7"/>
        <v>0.39169740816812793</v>
      </c>
    </row>
    <row r="147" spans="1:6">
      <c r="A147" s="50" t="s">
        <v>369</v>
      </c>
      <c r="B147" s="50">
        <v>40.799999999999997</v>
      </c>
      <c r="C147" s="50" t="s">
        <v>368</v>
      </c>
      <c r="D147" s="50">
        <f t="shared" si="6"/>
        <v>0.93768681571936929</v>
      </c>
      <c r="E147" s="50">
        <f t="shared" si="8"/>
        <v>0.5546875</v>
      </c>
      <c r="F147" s="50">
        <f t="shared" si="7"/>
        <v>0.8792565643739304</v>
      </c>
    </row>
    <row r="148" spans="1:6">
      <c r="A148" s="50" t="s">
        <v>367</v>
      </c>
      <c r="B148" s="50">
        <v>70.099999999999994</v>
      </c>
      <c r="C148" s="50" t="s">
        <v>366</v>
      </c>
      <c r="D148" s="50">
        <f t="shared" si="6"/>
        <v>0.67147212971156045</v>
      </c>
      <c r="E148" s="50">
        <f t="shared" si="8"/>
        <v>0.55859375</v>
      </c>
      <c r="F148" s="50">
        <f t="shared" si="7"/>
        <v>0.45087482097937864</v>
      </c>
    </row>
    <row r="149" spans="1:6">
      <c r="A149" s="50" t="s">
        <v>365</v>
      </c>
      <c r="B149" s="50">
        <v>105.5</v>
      </c>
      <c r="C149" s="50" t="s">
        <v>364</v>
      </c>
      <c r="D149" s="50">
        <f t="shared" si="6"/>
        <v>0.6893261884896581</v>
      </c>
      <c r="E149" s="50">
        <f t="shared" si="8"/>
        <v>0.5625</v>
      </c>
      <c r="F149" s="50">
        <f t="shared" si="7"/>
        <v>0.47517059413767965</v>
      </c>
    </row>
    <row r="150" spans="1:6">
      <c r="A150" s="50" t="s">
        <v>363</v>
      </c>
      <c r="B150" s="50">
        <v>90.1</v>
      </c>
      <c r="C150" s="50" t="s">
        <v>362</v>
      </c>
      <c r="D150" s="50">
        <f t="shared" si="6"/>
        <v>2.0263166451641301</v>
      </c>
      <c r="E150" s="50">
        <f t="shared" si="8"/>
        <v>0.56640625</v>
      </c>
      <c r="F150" s="50">
        <f t="shared" si="7"/>
        <v>4.1059591464692149</v>
      </c>
    </row>
    <row r="151" spans="1:6">
      <c r="A151" s="50" t="s">
        <v>361</v>
      </c>
      <c r="B151" s="50">
        <v>102.8</v>
      </c>
      <c r="C151" s="50" t="s">
        <v>360</v>
      </c>
      <c r="D151" s="50">
        <f t="shared" si="6"/>
        <v>2.1019243326690922</v>
      </c>
      <c r="E151" s="50">
        <f t="shared" si="8"/>
        <v>0.5703125</v>
      </c>
      <c r="F151" s="50">
        <f t="shared" si="7"/>
        <v>4.4180859002664086</v>
      </c>
    </row>
    <row r="152" spans="1:6">
      <c r="A152" s="50" t="s">
        <v>359</v>
      </c>
      <c r="B152" s="50">
        <v>80.900000000000006</v>
      </c>
      <c r="C152" s="50" t="s">
        <v>358</v>
      </c>
      <c r="D152" s="50">
        <f t="shared" si="6"/>
        <v>0.68853403025220317</v>
      </c>
      <c r="E152" s="50">
        <f t="shared" si="8"/>
        <v>0.57421875</v>
      </c>
      <c r="F152" s="50">
        <f t="shared" si="7"/>
        <v>0.47407911081534182</v>
      </c>
    </row>
    <row r="153" spans="1:6">
      <c r="A153" s="50" t="s">
        <v>357</v>
      </c>
      <c r="B153" s="50">
        <v>73.2</v>
      </c>
      <c r="C153" s="50" t="s">
        <v>356</v>
      </c>
      <c r="D153" s="50">
        <f t="shared" si="6"/>
        <v>1.9105619054331211</v>
      </c>
      <c r="E153" s="50">
        <f t="shared" si="8"/>
        <v>0.578125</v>
      </c>
      <c r="F153" s="50">
        <f t="shared" si="7"/>
        <v>3.6502467944922383</v>
      </c>
    </row>
    <row r="154" spans="1:6">
      <c r="A154" s="50" t="s">
        <v>355</v>
      </c>
      <c r="B154" s="50">
        <v>30.9</v>
      </c>
      <c r="C154" s="50" t="s">
        <v>354</v>
      </c>
      <c r="D154" s="50">
        <f t="shared" si="6"/>
        <v>0.81198914695098401</v>
      </c>
      <c r="E154" s="50">
        <f t="shared" si="8"/>
        <v>0.58203125</v>
      </c>
      <c r="F154" s="50">
        <f t="shared" si="7"/>
        <v>0.65932637476618672</v>
      </c>
    </row>
    <row r="155" spans="1:6">
      <c r="A155" s="50" t="s">
        <v>353</v>
      </c>
      <c r="B155" s="50">
        <v>9.5</v>
      </c>
      <c r="C155" s="50" t="s">
        <v>352</v>
      </c>
      <c r="D155" s="50">
        <f t="shared" si="6"/>
        <v>0.90789589120860603</v>
      </c>
      <c r="E155" s="50">
        <f t="shared" si="8"/>
        <v>0.5859375</v>
      </c>
      <c r="F155" s="50">
        <f t="shared" si="7"/>
        <v>0.824274949273469</v>
      </c>
    </row>
    <row r="156" spans="1:6">
      <c r="A156" s="50" t="s">
        <v>351</v>
      </c>
      <c r="B156" s="50">
        <v>6</v>
      </c>
      <c r="C156" s="50" t="s">
        <v>350</v>
      </c>
      <c r="D156" s="50">
        <f t="shared" si="6"/>
        <v>0.55887941645240968</v>
      </c>
      <c r="E156" s="50">
        <f t="shared" si="8"/>
        <v>0.58984375</v>
      </c>
      <c r="F156" s="50">
        <f t="shared" si="7"/>
        <v>0.31234620213418596</v>
      </c>
    </row>
    <row r="157" spans="1:6">
      <c r="A157" s="50" t="s">
        <v>349</v>
      </c>
      <c r="B157" s="50">
        <v>2.4</v>
      </c>
      <c r="C157" s="50" t="s">
        <v>348</v>
      </c>
      <c r="D157" s="50">
        <f t="shared" si="6"/>
        <v>1.1644817512385579</v>
      </c>
      <c r="E157" s="50">
        <f t="shared" si="8"/>
        <v>0.59375</v>
      </c>
      <c r="F157" s="50">
        <f t="shared" si="7"/>
        <v>1.3560177489676186</v>
      </c>
    </row>
    <row r="158" spans="1:6">
      <c r="A158" s="50" t="s">
        <v>347</v>
      </c>
      <c r="B158" s="50">
        <v>16.100000000000001</v>
      </c>
      <c r="C158" s="50" t="s">
        <v>346</v>
      </c>
      <c r="D158" s="50">
        <f t="shared" si="6"/>
        <v>1.4448949913118223</v>
      </c>
      <c r="E158" s="50">
        <f t="shared" si="8"/>
        <v>0.59765625</v>
      </c>
      <c r="F158" s="50">
        <f t="shared" si="7"/>
        <v>2.087721535917991</v>
      </c>
    </row>
    <row r="159" spans="1:6">
      <c r="A159" s="50" t="s">
        <v>345</v>
      </c>
      <c r="B159" s="50">
        <v>79</v>
      </c>
      <c r="C159" s="50" t="s">
        <v>344</v>
      </c>
      <c r="D159" s="50">
        <f t="shared" si="6"/>
        <v>1.3930736508288621</v>
      </c>
      <c r="E159" s="50">
        <f t="shared" si="8"/>
        <v>0.6015625</v>
      </c>
      <c r="F159" s="50">
        <f t="shared" si="7"/>
        <v>1.9406541966336546</v>
      </c>
    </row>
    <row r="160" spans="1:6">
      <c r="A160" s="50" t="s">
        <v>343</v>
      </c>
      <c r="B160" s="50">
        <v>95</v>
      </c>
      <c r="C160" s="50" t="s">
        <v>342</v>
      </c>
      <c r="D160" s="50">
        <f t="shared" si="6"/>
        <v>1.7234172917546253</v>
      </c>
      <c r="E160" s="50">
        <f t="shared" si="8"/>
        <v>0.60546875</v>
      </c>
      <c r="F160" s="50">
        <f t="shared" si="7"/>
        <v>2.9701671615188472</v>
      </c>
    </row>
    <row r="161" spans="1:6">
      <c r="A161" s="50" t="s">
        <v>341</v>
      </c>
      <c r="B161" s="50">
        <v>173.6</v>
      </c>
      <c r="C161" s="50" t="s">
        <v>340</v>
      </c>
      <c r="D161" s="50">
        <f t="shared" si="6"/>
        <v>1.0176015796639994</v>
      </c>
      <c r="E161" s="50">
        <f t="shared" si="8"/>
        <v>0.609375</v>
      </c>
      <c r="F161" s="50">
        <f t="shared" si="7"/>
        <v>1.035512974934667</v>
      </c>
    </row>
    <row r="162" spans="1:6">
      <c r="A162" s="50" t="s">
        <v>339</v>
      </c>
      <c r="B162" s="50">
        <v>134.6</v>
      </c>
      <c r="C162" s="50" t="s">
        <v>338</v>
      </c>
      <c r="D162" s="50">
        <f t="shared" si="6"/>
        <v>0.63586788710446596</v>
      </c>
      <c r="E162" s="50">
        <f t="shared" si="8"/>
        <v>0.61328125</v>
      </c>
      <c r="F162" s="50">
        <f t="shared" si="7"/>
        <v>0.40432796985069785</v>
      </c>
    </row>
    <row r="163" spans="1:6">
      <c r="A163" s="50" t="s">
        <v>337</v>
      </c>
      <c r="B163" s="50">
        <v>105.7</v>
      </c>
      <c r="C163" s="50" t="s">
        <v>336</v>
      </c>
      <c r="D163" s="50">
        <f t="shared" si="6"/>
        <v>1.2695175570180757</v>
      </c>
      <c r="E163" s="50">
        <f t="shared" si="8"/>
        <v>0.6171875</v>
      </c>
      <c r="F163" s="50">
        <f t="shared" si="7"/>
        <v>1.6116748275771431</v>
      </c>
    </row>
    <row r="164" spans="1:6">
      <c r="A164" s="50" t="s">
        <v>335</v>
      </c>
      <c r="B164" s="50">
        <v>62.7</v>
      </c>
      <c r="C164" s="50" t="s">
        <v>334</v>
      </c>
      <c r="D164" s="50">
        <f t="shared" si="6"/>
        <v>1.7032712272364383</v>
      </c>
      <c r="E164" s="50">
        <f t="shared" si="8"/>
        <v>0.62109375</v>
      </c>
      <c r="F164" s="50">
        <f t="shared" si="7"/>
        <v>2.9011328735315227</v>
      </c>
    </row>
    <row r="165" spans="1:6">
      <c r="A165" s="50" t="s">
        <v>333</v>
      </c>
      <c r="B165" s="50">
        <v>43.5</v>
      </c>
      <c r="C165" s="50" t="s">
        <v>332</v>
      </c>
      <c r="D165" s="50">
        <f t="shared" si="6"/>
        <v>0.74510145358977387</v>
      </c>
      <c r="E165" s="50">
        <f t="shared" si="8"/>
        <v>0.625</v>
      </c>
      <c r="F165" s="50">
        <f t="shared" si="7"/>
        <v>0.55517617614159398</v>
      </c>
    </row>
    <row r="166" spans="1:6">
      <c r="A166" s="50" t="s">
        <v>331</v>
      </c>
      <c r="B166" s="50">
        <v>23.7</v>
      </c>
      <c r="C166" s="50" t="s">
        <v>330</v>
      </c>
      <c r="D166" s="50">
        <f t="shared" si="6"/>
        <v>0.52385705640390801</v>
      </c>
      <c r="E166" s="50">
        <f t="shared" si="8"/>
        <v>0.62890625</v>
      </c>
      <c r="F166" s="50">
        <f t="shared" si="7"/>
        <v>0.27442621554416724</v>
      </c>
    </row>
    <row r="167" spans="1:6">
      <c r="A167" s="50" t="s">
        <v>329</v>
      </c>
      <c r="B167" s="50">
        <v>9.6999999999999993</v>
      </c>
      <c r="C167" s="50" t="s">
        <v>328</v>
      </c>
      <c r="D167" s="50">
        <f t="shared" si="6"/>
        <v>1.2899000830176095</v>
      </c>
      <c r="E167" s="50">
        <f t="shared" si="8"/>
        <v>0.6328125</v>
      </c>
      <c r="F167" s="50">
        <f t="shared" si="7"/>
        <v>1.663842224168836</v>
      </c>
    </row>
    <row r="168" spans="1:6">
      <c r="A168" s="50" t="s">
        <v>327</v>
      </c>
      <c r="B168" s="50">
        <v>27.9</v>
      </c>
      <c r="C168" s="50" t="s">
        <v>326</v>
      </c>
      <c r="D168" s="50">
        <f t="shared" si="6"/>
        <v>1.2707826310752819</v>
      </c>
      <c r="E168" s="50">
        <f t="shared" si="8"/>
        <v>0.63671875</v>
      </c>
      <c r="F168" s="50">
        <f t="shared" si="7"/>
        <v>1.6148884954426159</v>
      </c>
    </row>
    <row r="169" spans="1:6">
      <c r="A169" s="50" t="s">
        <v>325</v>
      </c>
      <c r="B169" s="50">
        <v>74</v>
      </c>
      <c r="C169" s="50" t="s">
        <v>324</v>
      </c>
      <c r="D169" s="50">
        <f t="shared" si="6"/>
        <v>2.4645402017412015</v>
      </c>
      <c r="E169" s="50">
        <f t="shared" si="8"/>
        <v>0.640625</v>
      </c>
      <c r="F169" s="50">
        <f t="shared" si="7"/>
        <v>6.0739584059985621</v>
      </c>
    </row>
    <row r="170" spans="1:6">
      <c r="A170" s="50" t="s">
        <v>323</v>
      </c>
      <c r="B170" s="50">
        <v>106.5</v>
      </c>
      <c r="C170" s="50" t="s">
        <v>322</v>
      </c>
      <c r="D170" s="50">
        <f t="shared" si="6"/>
        <v>1.7080191773907429</v>
      </c>
      <c r="E170" s="50">
        <f t="shared" si="8"/>
        <v>0.64453125</v>
      </c>
      <c r="F170" s="50">
        <f t="shared" si="7"/>
        <v>2.9173295103345502</v>
      </c>
    </row>
    <row r="171" spans="1:6">
      <c r="A171" s="50" t="s">
        <v>321</v>
      </c>
      <c r="B171" s="50">
        <v>114.7</v>
      </c>
      <c r="C171" s="50" t="s">
        <v>320</v>
      </c>
      <c r="D171" s="50">
        <f t="shared" si="6"/>
        <v>1.713152773358436</v>
      </c>
      <c r="E171" s="50">
        <f t="shared" si="8"/>
        <v>0.6484375</v>
      </c>
      <c r="F171" s="50">
        <f t="shared" si="7"/>
        <v>2.9348924248657005</v>
      </c>
    </row>
    <row r="172" spans="1:6">
      <c r="A172" s="50" t="s">
        <v>319</v>
      </c>
      <c r="B172" s="50">
        <v>129.69999999999999</v>
      </c>
      <c r="C172" s="50" t="s">
        <v>318</v>
      </c>
      <c r="D172" s="50">
        <f t="shared" si="6"/>
        <v>1.6606820729310832</v>
      </c>
      <c r="E172" s="50">
        <f t="shared" si="8"/>
        <v>0.65234375</v>
      </c>
      <c r="F172" s="50">
        <f t="shared" si="7"/>
        <v>2.7578649473546792</v>
      </c>
    </row>
    <row r="173" spans="1:6">
      <c r="A173" s="50" t="s">
        <v>317</v>
      </c>
      <c r="B173" s="50">
        <v>108.2</v>
      </c>
      <c r="C173" s="50" t="s">
        <v>316</v>
      </c>
      <c r="D173" s="50">
        <f t="shared" si="6"/>
        <v>2.2152155100013347</v>
      </c>
      <c r="E173" s="50">
        <f t="shared" si="8"/>
        <v>0.65625</v>
      </c>
      <c r="F173" s="50">
        <f t="shared" si="7"/>
        <v>4.907179755750473</v>
      </c>
    </row>
    <row r="174" spans="1:6">
      <c r="A174" s="50" t="s">
        <v>315</v>
      </c>
      <c r="B174" s="50">
        <v>59.4</v>
      </c>
      <c r="C174" s="50" t="s">
        <v>314</v>
      </c>
      <c r="D174" s="50">
        <f t="shared" si="6"/>
        <v>0.99709915394129001</v>
      </c>
      <c r="E174" s="50">
        <f t="shared" si="8"/>
        <v>0.66015625</v>
      </c>
      <c r="F174" s="50">
        <f t="shared" si="7"/>
        <v>0.99420672279043631</v>
      </c>
    </row>
    <row r="175" spans="1:6">
      <c r="A175" s="50" t="s">
        <v>313</v>
      </c>
      <c r="B175" s="50">
        <v>35.1</v>
      </c>
      <c r="C175" s="50" t="s">
        <v>312</v>
      </c>
      <c r="D175" s="50">
        <f t="shared" si="6"/>
        <v>0.47887270526607029</v>
      </c>
      <c r="E175" s="50">
        <f t="shared" si="8"/>
        <v>0.6640625</v>
      </c>
      <c r="F175" s="50">
        <f t="shared" si="7"/>
        <v>0.22931906784884462</v>
      </c>
    </row>
    <row r="176" spans="1:6">
      <c r="A176" s="50" t="s">
        <v>311</v>
      </c>
      <c r="B176" s="50">
        <v>18.600000000000001</v>
      </c>
      <c r="C176" s="50" t="s">
        <v>310</v>
      </c>
      <c r="D176" s="50">
        <f t="shared" si="6"/>
        <v>0.44076956209951063</v>
      </c>
      <c r="E176" s="50">
        <f t="shared" si="8"/>
        <v>0.66796875</v>
      </c>
      <c r="F176" s="50">
        <f t="shared" si="7"/>
        <v>0.19427780687339435</v>
      </c>
    </row>
    <row r="177" spans="1:6">
      <c r="A177" s="50" t="s">
        <v>309</v>
      </c>
      <c r="B177" s="50">
        <v>9.1999999999999993</v>
      </c>
      <c r="C177" s="50" t="s">
        <v>308</v>
      </c>
      <c r="D177" s="50">
        <f t="shared" si="6"/>
        <v>0.28717807866891637</v>
      </c>
      <c r="E177" s="50">
        <f t="shared" si="8"/>
        <v>0.671875</v>
      </c>
      <c r="F177" s="50">
        <f t="shared" si="7"/>
        <v>8.2471248867970318E-2</v>
      </c>
    </row>
    <row r="178" spans="1:6">
      <c r="A178" s="50" t="s">
        <v>307</v>
      </c>
      <c r="B178" s="50">
        <v>14.6</v>
      </c>
      <c r="C178" s="50" t="s">
        <v>306</v>
      </c>
      <c r="D178" s="50">
        <f t="shared" si="6"/>
        <v>1.6098791813957791</v>
      </c>
      <c r="E178" s="50">
        <f t="shared" si="8"/>
        <v>0.67578125</v>
      </c>
      <c r="F178" s="50">
        <f t="shared" si="7"/>
        <v>2.5917109786915438</v>
      </c>
    </row>
    <row r="179" spans="1:6">
      <c r="A179" s="50" t="s">
        <v>305</v>
      </c>
      <c r="B179" s="50">
        <v>60.2</v>
      </c>
      <c r="C179" s="50" t="s">
        <v>304</v>
      </c>
      <c r="D179" s="50">
        <f t="shared" si="6"/>
        <v>1.587742093920697</v>
      </c>
      <c r="E179" s="50">
        <f t="shared" si="8"/>
        <v>0.6796875</v>
      </c>
      <c r="F179" s="50">
        <f t="shared" si="7"/>
        <v>2.5209249568076793</v>
      </c>
    </row>
    <row r="180" spans="1:6">
      <c r="A180" s="50" t="s">
        <v>303</v>
      </c>
      <c r="B180" s="50">
        <v>132.80000000000001</v>
      </c>
      <c r="C180" s="50" t="s">
        <v>302</v>
      </c>
      <c r="D180" s="50">
        <f t="shared" si="6"/>
        <v>1.603411323652999</v>
      </c>
      <c r="E180" s="50">
        <f t="shared" si="8"/>
        <v>0.68359375</v>
      </c>
      <c r="F180" s="50">
        <f t="shared" si="7"/>
        <v>2.5709278728186624</v>
      </c>
    </row>
    <row r="181" spans="1:6">
      <c r="A181" s="50" t="s">
        <v>301</v>
      </c>
      <c r="B181" s="50">
        <v>190.6</v>
      </c>
      <c r="C181" s="50" t="s">
        <v>300</v>
      </c>
      <c r="D181" s="50">
        <f t="shared" si="6"/>
        <v>3.8170220968454291</v>
      </c>
      <c r="E181" s="50">
        <f t="shared" si="8"/>
        <v>0.6875</v>
      </c>
      <c r="F181" s="50">
        <f t="shared" si="7"/>
        <v>14.569657687806277</v>
      </c>
    </row>
    <row r="182" spans="1:6">
      <c r="A182" s="50" t="s">
        <v>299</v>
      </c>
      <c r="B182" s="50">
        <v>182.6</v>
      </c>
      <c r="C182" s="50" t="s">
        <v>298</v>
      </c>
      <c r="D182" s="50">
        <f t="shared" si="6"/>
        <v>3.4234213819585833</v>
      </c>
      <c r="E182" s="50">
        <f t="shared" si="8"/>
        <v>0.69140625</v>
      </c>
      <c r="F182" s="50">
        <f t="shared" si="7"/>
        <v>11.719813958451216</v>
      </c>
    </row>
    <row r="183" spans="1:6">
      <c r="A183" s="50" t="s">
        <v>297</v>
      </c>
      <c r="B183" s="50">
        <v>148</v>
      </c>
      <c r="C183" s="50" t="s">
        <v>296</v>
      </c>
      <c r="D183" s="50">
        <f t="shared" si="6"/>
        <v>1.4005189878902202</v>
      </c>
      <c r="E183" s="50">
        <f t="shared" si="8"/>
        <v>0.6953125</v>
      </c>
      <c r="F183" s="50">
        <f t="shared" si="7"/>
        <v>1.9614534354410469</v>
      </c>
    </row>
    <row r="184" spans="1:6">
      <c r="A184" s="50" t="s">
        <v>295</v>
      </c>
      <c r="B184" s="50">
        <v>113</v>
      </c>
      <c r="C184" s="50" t="s">
        <v>294</v>
      </c>
      <c r="D184" s="50">
        <f t="shared" si="6"/>
        <v>0.50978962721869236</v>
      </c>
      <c r="E184" s="50">
        <f t="shared" si="8"/>
        <v>0.69921875</v>
      </c>
      <c r="F184" s="50">
        <f t="shared" si="7"/>
        <v>0.2598854640197733</v>
      </c>
    </row>
    <row r="185" spans="1:6">
      <c r="A185" s="50" t="s">
        <v>293</v>
      </c>
      <c r="B185" s="50">
        <v>79.2</v>
      </c>
      <c r="C185" s="50" t="s">
        <v>292</v>
      </c>
      <c r="D185" s="50">
        <f t="shared" si="6"/>
        <v>1.159335621549699</v>
      </c>
      <c r="E185" s="50">
        <f t="shared" si="8"/>
        <v>0.703125</v>
      </c>
      <c r="F185" s="50">
        <f t="shared" si="7"/>
        <v>1.3440590833940269</v>
      </c>
    </row>
    <row r="186" spans="1:6">
      <c r="A186" s="50" t="s">
        <v>291</v>
      </c>
      <c r="B186" s="50">
        <v>50.8</v>
      </c>
      <c r="C186" s="50" t="s">
        <v>290</v>
      </c>
      <c r="D186" s="50">
        <f t="shared" si="6"/>
        <v>2.3142439366760548</v>
      </c>
      <c r="E186" s="50">
        <f t="shared" si="8"/>
        <v>0.70703125</v>
      </c>
      <c r="F186" s="50">
        <f t="shared" si="7"/>
        <v>5.3557249984418833</v>
      </c>
    </row>
    <row r="187" spans="1:6">
      <c r="A187" s="50" t="s">
        <v>289</v>
      </c>
      <c r="B187" s="50">
        <v>27.1</v>
      </c>
      <c r="C187" s="50" t="s">
        <v>288</v>
      </c>
      <c r="D187" s="50">
        <f t="shared" si="6"/>
        <v>1.280886861292228</v>
      </c>
      <c r="E187" s="50">
        <f t="shared" si="8"/>
        <v>0.7109375</v>
      </c>
      <c r="F187" s="50">
        <f t="shared" si="7"/>
        <v>1.6406711514310552</v>
      </c>
    </row>
    <row r="188" spans="1:6">
      <c r="A188" s="50" t="s">
        <v>287</v>
      </c>
      <c r="B188" s="50">
        <v>16.100000000000001</v>
      </c>
      <c r="C188" s="50" t="s">
        <v>286</v>
      </c>
      <c r="D188" s="50">
        <f t="shared" si="6"/>
        <v>1.9137951507016979</v>
      </c>
      <c r="E188" s="50">
        <f t="shared" si="8"/>
        <v>0.71484375</v>
      </c>
      <c r="F188" s="50">
        <f t="shared" si="7"/>
        <v>3.6626118788493347</v>
      </c>
    </row>
    <row r="189" spans="1:6">
      <c r="A189" s="50" t="s">
        <v>285</v>
      </c>
      <c r="B189" s="50">
        <v>55.3</v>
      </c>
      <c r="C189" s="50" t="s">
        <v>284</v>
      </c>
      <c r="D189" s="50">
        <f t="shared" si="6"/>
        <v>1.141152508481283</v>
      </c>
      <c r="E189" s="50">
        <f t="shared" si="8"/>
        <v>0.71875</v>
      </c>
      <c r="F189" s="50">
        <f t="shared" si="7"/>
        <v>1.3022290476131246</v>
      </c>
    </row>
    <row r="190" spans="1:6">
      <c r="A190" s="50" t="s">
        <v>283</v>
      </c>
      <c r="B190" s="50">
        <v>154.30000000000001</v>
      </c>
      <c r="C190" s="50" t="s">
        <v>282</v>
      </c>
      <c r="D190" s="50">
        <f t="shared" si="6"/>
        <v>2.9590631161774863</v>
      </c>
      <c r="E190" s="50">
        <f t="shared" si="8"/>
        <v>0.72265625</v>
      </c>
      <c r="F190" s="50">
        <f t="shared" si="7"/>
        <v>8.7560545255220159</v>
      </c>
    </row>
    <row r="191" spans="1:6">
      <c r="A191" s="50" t="s">
        <v>281</v>
      </c>
      <c r="B191" s="50">
        <v>214.7</v>
      </c>
      <c r="C191" s="50" t="s">
        <v>280</v>
      </c>
      <c r="D191" s="50">
        <f t="shared" si="6"/>
        <v>1.5520531235152624</v>
      </c>
      <c r="E191" s="50">
        <f t="shared" si="8"/>
        <v>0.7265625</v>
      </c>
      <c r="F191" s="50">
        <f t="shared" si="7"/>
        <v>2.4088688982134823</v>
      </c>
    </row>
    <row r="192" spans="1:6">
      <c r="A192" s="50" t="s">
        <v>279</v>
      </c>
      <c r="B192" s="50">
        <v>193</v>
      </c>
      <c r="C192" s="50" t="s">
        <v>278</v>
      </c>
      <c r="D192" s="50">
        <f t="shared" si="6"/>
        <v>1.8181912294158591</v>
      </c>
      <c r="E192" s="50">
        <f t="shared" si="8"/>
        <v>0.73046875</v>
      </c>
      <c r="F192" s="50">
        <f t="shared" si="7"/>
        <v>3.305819346724753</v>
      </c>
    </row>
    <row r="193" spans="1:6">
      <c r="A193" s="50" t="s">
        <v>277</v>
      </c>
      <c r="B193" s="50">
        <v>190.7</v>
      </c>
      <c r="C193" s="50" t="s">
        <v>276</v>
      </c>
      <c r="D193" s="50">
        <f t="shared" si="6"/>
        <v>1.1870049338233779</v>
      </c>
      <c r="E193" s="50">
        <f t="shared" si="8"/>
        <v>0.734375</v>
      </c>
      <c r="F193" s="50">
        <f t="shared" si="7"/>
        <v>1.4089807129210417</v>
      </c>
    </row>
    <row r="194" spans="1:6">
      <c r="A194" s="50" t="s">
        <v>275</v>
      </c>
      <c r="B194" s="50">
        <v>118.9</v>
      </c>
      <c r="C194" s="50" t="s">
        <v>274</v>
      </c>
      <c r="D194" s="50">
        <f t="shared" si="6"/>
        <v>0.25546762591608713</v>
      </c>
      <c r="E194" s="50">
        <f t="shared" si="8"/>
        <v>0.73828125</v>
      </c>
      <c r="F194" s="50">
        <f t="shared" si="7"/>
        <v>6.5263707891201825E-2</v>
      </c>
    </row>
    <row r="195" spans="1:6">
      <c r="A195" s="50" t="s">
        <v>273</v>
      </c>
      <c r="B195" s="50">
        <v>98.3</v>
      </c>
      <c r="C195" s="50" t="s">
        <v>272</v>
      </c>
      <c r="D195" s="50">
        <f t="shared" si="6"/>
        <v>2.8623374595675863</v>
      </c>
      <c r="E195" s="50">
        <f t="shared" si="8"/>
        <v>0.7421875</v>
      </c>
      <c r="F195" s="50">
        <f t="shared" si="7"/>
        <v>8.1929757324438235</v>
      </c>
    </row>
    <row r="196" spans="1:6">
      <c r="A196" s="50" t="s">
        <v>271</v>
      </c>
      <c r="B196" s="50">
        <v>45</v>
      </c>
      <c r="C196" s="50" t="s">
        <v>270</v>
      </c>
      <c r="D196" s="50">
        <f t="shared" si="6"/>
        <v>2.7902926867510764</v>
      </c>
      <c r="E196" s="50">
        <f t="shared" si="8"/>
        <v>0.74609375</v>
      </c>
      <c r="F196" s="50">
        <f t="shared" si="7"/>
        <v>7.7857332777365409</v>
      </c>
    </row>
    <row r="197" spans="1:6">
      <c r="A197" s="50" t="s">
        <v>269</v>
      </c>
      <c r="B197" s="50">
        <v>20.100000000000001</v>
      </c>
      <c r="C197" s="50" t="s">
        <v>268</v>
      </c>
      <c r="D197" s="50">
        <f t="shared" ref="D197:D260" si="9">2*IMABS(C197)/$B$1</f>
        <v>2.0201501106914219</v>
      </c>
      <c r="E197" s="50">
        <f t="shared" si="8"/>
        <v>0.75</v>
      </c>
      <c r="F197" s="50">
        <f t="shared" si="7"/>
        <v>4.0810064697265647</v>
      </c>
    </row>
    <row r="198" spans="1:6">
      <c r="A198" s="50" t="s">
        <v>267</v>
      </c>
      <c r="B198" s="50">
        <v>6.6</v>
      </c>
      <c r="C198" s="50" t="s">
        <v>266</v>
      </c>
      <c r="D198" s="50">
        <f t="shared" si="9"/>
        <v>2.4075722722831832</v>
      </c>
      <c r="E198" s="50">
        <f t="shared" si="8"/>
        <v>0.75390625</v>
      </c>
      <c r="F198" s="50">
        <f t="shared" ref="F198:F260" si="10">D198^2</f>
        <v>5.7964042462668095</v>
      </c>
    </row>
    <row r="199" spans="1:6">
      <c r="A199" s="50" t="s">
        <v>265</v>
      </c>
      <c r="B199" s="50">
        <v>54.2</v>
      </c>
      <c r="C199" s="50" t="s">
        <v>264</v>
      </c>
      <c r="D199" s="50">
        <f t="shared" si="9"/>
        <v>2.7423792917699568</v>
      </c>
      <c r="E199" s="50">
        <f t="shared" ref="E199:E260" si="11">E198+$E$6</f>
        <v>0.7578125</v>
      </c>
      <c r="F199" s="50">
        <f t="shared" si="10"/>
        <v>7.5206441799286896</v>
      </c>
    </row>
    <row r="200" spans="1:6">
      <c r="A200" s="50" t="s">
        <v>263</v>
      </c>
      <c r="B200" s="50">
        <v>200.7</v>
      </c>
      <c r="C200" s="50" t="s">
        <v>262</v>
      </c>
      <c r="D200" s="50">
        <f t="shared" si="9"/>
        <v>2.8994066819593787</v>
      </c>
      <c r="E200" s="50">
        <f t="shared" si="11"/>
        <v>0.76171875</v>
      </c>
      <c r="F200" s="50">
        <f t="shared" si="10"/>
        <v>8.4065591073906933</v>
      </c>
    </row>
    <row r="201" spans="1:6">
      <c r="A201" s="50" t="s">
        <v>261</v>
      </c>
      <c r="B201" s="50">
        <v>269.3</v>
      </c>
      <c r="C201" s="50" t="s">
        <v>260</v>
      </c>
      <c r="D201" s="50">
        <f t="shared" si="9"/>
        <v>0.83321348970578113</v>
      </c>
      <c r="E201" s="50">
        <f t="shared" si="11"/>
        <v>0.765625</v>
      </c>
      <c r="F201" s="50">
        <f t="shared" si="10"/>
        <v>0.69424471942768584</v>
      </c>
    </row>
    <row r="202" spans="1:6">
      <c r="A202" s="50" t="s">
        <v>259</v>
      </c>
      <c r="B202" s="50">
        <v>261.7</v>
      </c>
      <c r="C202" s="50" t="s">
        <v>258</v>
      </c>
      <c r="D202" s="50">
        <f t="shared" si="9"/>
        <v>2.2700215495055711</v>
      </c>
      <c r="E202" s="50">
        <f t="shared" si="11"/>
        <v>0.76953125</v>
      </c>
      <c r="F202" s="50">
        <f t="shared" si="10"/>
        <v>5.1529978352196739</v>
      </c>
    </row>
    <row r="203" spans="1:6">
      <c r="A203" s="50" t="s">
        <v>257</v>
      </c>
      <c r="B203" s="50">
        <v>225.1</v>
      </c>
      <c r="C203" s="50" t="s">
        <v>256</v>
      </c>
      <c r="D203" s="50">
        <f t="shared" si="9"/>
        <v>1.8774995572274182</v>
      </c>
      <c r="E203" s="50">
        <f t="shared" si="11"/>
        <v>0.7734375</v>
      </c>
      <c r="F203" s="50">
        <f t="shared" si="10"/>
        <v>3.5250045873891516</v>
      </c>
    </row>
    <row r="204" spans="1:6">
      <c r="A204" s="50" t="s">
        <v>255</v>
      </c>
      <c r="B204" s="50">
        <v>159</v>
      </c>
      <c r="C204" s="50" t="s">
        <v>254</v>
      </c>
      <c r="D204" s="50">
        <f t="shared" si="9"/>
        <v>2.6042132946050649</v>
      </c>
      <c r="E204" s="50">
        <f t="shared" si="11"/>
        <v>0.77734375</v>
      </c>
      <c r="F204" s="50">
        <f t="shared" si="10"/>
        <v>6.7819268837977669</v>
      </c>
    </row>
    <row r="205" spans="1:6">
      <c r="A205" s="50" t="s">
        <v>253</v>
      </c>
      <c r="B205" s="50">
        <v>76.400000000000006</v>
      </c>
      <c r="C205" s="50" t="s">
        <v>252</v>
      </c>
      <c r="D205" s="50">
        <f t="shared" si="9"/>
        <v>3.6742439970982463</v>
      </c>
      <c r="E205" s="50">
        <f t="shared" si="11"/>
        <v>0.78125</v>
      </c>
      <c r="F205" s="50">
        <f t="shared" si="10"/>
        <v>13.500068950212498</v>
      </c>
    </row>
    <row r="206" spans="1:6">
      <c r="A206" s="50" t="s">
        <v>251</v>
      </c>
      <c r="B206" s="50">
        <v>53.4</v>
      </c>
      <c r="C206" s="50" t="s">
        <v>250</v>
      </c>
      <c r="D206" s="50">
        <f t="shared" si="9"/>
        <v>1.6528015999880388</v>
      </c>
      <c r="E206" s="50">
        <f t="shared" si="11"/>
        <v>0.78515625</v>
      </c>
      <c r="F206" s="50">
        <f t="shared" si="10"/>
        <v>2.731753128923021</v>
      </c>
    </row>
    <row r="207" spans="1:6">
      <c r="A207" s="50" t="s">
        <v>249</v>
      </c>
      <c r="B207" s="50">
        <v>39.9</v>
      </c>
      <c r="C207" s="50" t="s">
        <v>248</v>
      </c>
      <c r="D207" s="50">
        <f t="shared" si="9"/>
        <v>0.45007463717525742</v>
      </c>
      <c r="E207" s="50">
        <f t="shared" si="11"/>
        <v>0.7890625</v>
      </c>
      <c r="F207" s="50">
        <f t="shared" si="10"/>
        <v>0.2025671790284396</v>
      </c>
    </row>
    <row r="208" spans="1:6">
      <c r="A208" s="50" t="s">
        <v>247</v>
      </c>
      <c r="B208" s="50">
        <v>15</v>
      </c>
      <c r="C208" s="50" t="s">
        <v>246</v>
      </c>
      <c r="D208" s="50">
        <f t="shared" si="9"/>
        <v>6.1620448103892498</v>
      </c>
      <c r="E208" s="50">
        <f t="shared" si="11"/>
        <v>0.79296875</v>
      </c>
      <c r="F208" s="50">
        <f t="shared" si="10"/>
        <v>37.970796245245083</v>
      </c>
    </row>
    <row r="209" spans="1:6">
      <c r="A209" s="50" t="s">
        <v>245</v>
      </c>
      <c r="B209" s="50">
        <v>22</v>
      </c>
      <c r="C209" s="50" t="s">
        <v>244</v>
      </c>
      <c r="D209" s="50">
        <f t="shared" si="9"/>
        <v>1.2912886085263164</v>
      </c>
      <c r="E209" s="50">
        <f t="shared" si="11"/>
        <v>0.796875</v>
      </c>
      <c r="F209" s="50">
        <f t="shared" si="10"/>
        <v>1.6674262705098306</v>
      </c>
    </row>
    <row r="210" spans="1:6">
      <c r="A210" s="50" t="s">
        <v>243</v>
      </c>
      <c r="B210" s="50">
        <v>66.8</v>
      </c>
      <c r="C210" s="50" t="s">
        <v>242</v>
      </c>
      <c r="D210" s="50">
        <f t="shared" si="9"/>
        <v>3.5236373038946751</v>
      </c>
      <c r="E210" s="50">
        <f t="shared" si="11"/>
        <v>0.80078125</v>
      </c>
      <c r="F210" s="50">
        <f t="shared" si="10"/>
        <v>12.416019849398134</v>
      </c>
    </row>
    <row r="211" spans="1:6">
      <c r="A211" s="50" t="s">
        <v>241</v>
      </c>
      <c r="B211" s="50">
        <v>132.9</v>
      </c>
      <c r="C211" s="50" t="s">
        <v>240</v>
      </c>
      <c r="D211" s="50">
        <f t="shared" si="9"/>
        <v>4.4466617939114066</v>
      </c>
      <c r="E211" s="50">
        <f t="shared" si="11"/>
        <v>0.8046875</v>
      </c>
      <c r="F211" s="50">
        <f t="shared" si="10"/>
        <v>19.772801109431409</v>
      </c>
    </row>
    <row r="212" spans="1:6">
      <c r="A212" s="50" t="s">
        <v>239</v>
      </c>
      <c r="B212" s="50">
        <v>150</v>
      </c>
      <c r="C212" s="50" t="s">
        <v>238</v>
      </c>
      <c r="D212" s="50">
        <f t="shared" si="9"/>
        <v>3.6351439803904433</v>
      </c>
      <c r="E212" s="50">
        <f t="shared" si="11"/>
        <v>0.80859375</v>
      </c>
      <c r="F212" s="50">
        <f t="shared" si="10"/>
        <v>13.214271758168875</v>
      </c>
    </row>
    <row r="213" spans="1:6">
      <c r="A213" s="50" t="s">
        <v>237</v>
      </c>
      <c r="B213" s="50">
        <v>149.4</v>
      </c>
      <c r="C213" s="50" t="s">
        <v>236</v>
      </c>
      <c r="D213" s="50">
        <f t="shared" si="9"/>
        <v>3.8438782639895375</v>
      </c>
      <c r="E213" s="50">
        <f t="shared" si="11"/>
        <v>0.8125</v>
      </c>
      <c r="F213" s="50">
        <f t="shared" si="10"/>
        <v>14.775400108371221</v>
      </c>
    </row>
    <row r="214" spans="1:6">
      <c r="A214" s="50" t="s">
        <v>235</v>
      </c>
      <c r="B214" s="50">
        <v>148</v>
      </c>
      <c r="C214" s="50" t="s">
        <v>234</v>
      </c>
      <c r="D214" s="50">
        <f t="shared" si="9"/>
        <v>9.6178815194884031</v>
      </c>
      <c r="E214" s="50">
        <f t="shared" si="11"/>
        <v>0.81640625</v>
      </c>
      <c r="F214" s="50">
        <f t="shared" si="10"/>
        <v>92.50364492291655</v>
      </c>
    </row>
    <row r="215" spans="1:6">
      <c r="A215" s="50" t="s">
        <v>233</v>
      </c>
      <c r="B215" s="50">
        <v>94.4</v>
      </c>
      <c r="C215" s="50" t="s">
        <v>232</v>
      </c>
      <c r="D215" s="50">
        <f t="shared" si="9"/>
        <v>1.6178842717617419</v>
      </c>
      <c r="E215" s="50">
        <f t="shared" si="11"/>
        <v>0.8203125</v>
      </c>
      <c r="F215" s="50">
        <f t="shared" si="10"/>
        <v>2.6175495168140217</v>
      </c>
    </row>
    <row r="216" spans="1:6">
      <c r="A216" s="50" t="s">
        <v>231</v>
      </c>
      <c r="B216" s="50">
        <v>97.6</v>
      </c>
      <c r="C216" s="50" t="s">
        <v>230</v>
      </c>
      <c r="D216" s="50">
        <f t="shared" si="9"/>
        <v>7.5877346990172629</v>
      </c>
      <c r="E216" s="50">
        <f t="shared" si="11"/>
        <v>0.82421875</v>
      </c>
      <c r="F216" s="50">
        <f t="shared" si="10"/>
        <v>57.573717862670591</v>
      </c>
    </row>
    <row r="217" spans="1:6">
      <c r="A217" s="50" t="s">
        <v>229</v>
      </c>
      <c r="B217" s="50">
        <v>54.1</v>
      </c>
      <c r="C217" s="50" t="s">
        <v>228</v>
      </c>
      <c r="D217" s="50">
        <f t="shared" si="9"/>
        <v>5.0341226569768018</v>
      </c>
      <c r="E217" s="50">
        <f t="shared" si="11"/>
        <v>0.828125</v>
      </c>
      <c r="F217" s="50">
        <f t="shared" si="10"/>
        <v>25.342390925487173</v>
      </c>
    </row>
    <row r="218" spans="1:6">
      <c r="A218" s="50" t="s">
        <v>227</v>
      </c>
      <c r="B218" s="50">
        <v>49.2</v>
      </c>
      <c r="C218" s="50" t="s">
        <v>226</v>
      </c>
      <c r="D218" s="50">
        <f t="shared" si="9"/>
        <v>4.0506261165282762</v>
      </c>
      <c r="E218" s="50">
        <f t="shared" si="11"/>
        <v>0.83203125</v>
      </c>
      <c r="F218" s="50">
        <f t="shared" si="10"/>
        <v>16.407571935900943</v>
      </c>
    </row>
    <row r="219" spans="1:6">
      <c r="A219" s="50" t="s">
        <v>225</v>
      </c>
      <c r="B219" s="50">
        <v>22.5</v>
      </c>
      <c r="C219" s="50" t="s">
        <v>224</v>
      </c>
      <c r="D219" s="50">
        <f t="shared" si="9"/>
        <v>3.7167470588513303</v>
      </c>
      <c r="E219" s="50">
        <f t="shared" si="11"/>
        <v>0.8359375</v>
      </c>
      <c r="F219" s="50">
        <f t="shared" si="10"/>
        <v>13.814208699480014</v>
      </c>
    </row>
    <row r="220" spans="1:6">
      <c r="A220" s="50" t="s">
        <v>223</v>
      </c>
      <c r="B220" s="50">
        <v>18.399999999999999</v>
      </c>
      <c r="C220" s="50" t="s">
        <v>222</v>
      </c>
      <c r="D220" s="50">
        <f t="shared" si="9"/>
        <v>1.9400922899674899</v>
      </c>
      <c r="E220" s="50">
        <f t="shared" si="11"/>
        <v>0.83984375</v>
      </c>
      <c r="F220" s="50">
        <f t="shared" si="10"/>
        <v>3.7639580935912993</v>
      </c>
    </row>
    <row r="221" spans="1:6">
      <c r="A221" s="50" t="s">
        <v>221</v>
      </c>
      <c r="B221" s="50">
        <v>39.299999999999997</v>
      </c>
      <c r="C221" s="50" t="s">
        <v>220</v>
      </c>
      <c r="D221" s="50">
        <f t="shared" si="9"/>
        <v>2.512138527194129</v>
      </c>
      <c r="E221" s="50">
        <f t="shared" si="11"/>
        <v>0.84375</v>
      </c>
      <c r="F221" s="50">
        <f t="shared" si="10"/>
        <v>6.3108399798130872</v>
      </c>
    </row>
    <row r="222" spans="1:6">
      <c r="A222" s="50" t="s">
        <v>219</v>
      </c>
      <c r="B222" s="50">
        <v>131</v>
      </c>
      <c r="C222" s="50" t="s">
        <v>218</v>
      </c>
      <c r="D222" s="50">
        <f t="shared" si="9"/>
        <v>0.72598685619627445</v>
      </c>
      <c r="E222" s="50">
        <f t="shared" si="11"/>
        <v>0.84765625</v>
      </c>
      <c r="F222" s="50">
        <f t="shared" si="10"/>
        <v>0.52705691536975008</v>
      </c>
    </row>
    <row r="223" spans="1:6">
      <c r="A223" s="50" t="s">
        <v>217</v>
      </c>
      <c r="B223" s="50">
        <v>220.1</v>
      </c>
      <c r="C223" s="50" t="s">
        <v>216</v>
      </c>
      <c r="D223" s="50">
        <f t="shared" si="9"/>
        <v>4.555605786455641</v>
      </c>
      <c r="E223" s="50">
        <f t="shared" si="11"/>
        <v>0.8515625</v>
      </c>
      <c r="F223" s="50">
        <f t="shared" si="10"/>
        <v>20.753544081588117</v>
      </c>
    </row>
    <row r="224" spans="1:6">
      <c r="A224" s="50" t="s">
        <v>215</v>
      </c>
      <c r="B224" s="50">
        <v>218.9</v>
      </c>
      <c r="C224" s="50" t="s">
        <v>214</v>
      </c>
      <c r="D224" s="50">
        <f t="shared" si="9"/>
        <v>1.3944365424549059</v>
      </c>
      <c r="E224" s="50">
        <f t="shared" si="11"/>
        <v>0.85546875</v>
      </c>
      <c r="F224" s="50">
        <f t="shared" si="10"/>
        <v>1.9444532709335927</v>
      </c>
    </row>
    <row r="225" spans="1:6">
      <c r="A225" s="50" t="s">
        <v>213</v>
      </c>
      <c r="B225" s="50">
        <v>198.9</v>
      </c>
      <c r="C225" s="50" t="s">
        <v>212</v>
      </c>
      <c r="D225" s="50">
        <f t="shared" si="9"/>
        <v>4.7350519163865243</v>
      </c>
      <c r="E225" s="50">
        <f t="shared" si="11"/>
        <v>0.859375</v>
      </c>
      <c r="F225" s="50">
        <f t="shared" si="10"/>
        <v>22.420716650875697</v>
      </c>
    </row>
    <row r="226" spans="1:6">
      <c r="A226" s="50" t="s">
        <v>211</v>
      </c>
      <c r="B226" s="50">
        <v>162.4</v>
      </c>
      <c r="C226" s="50" t="s">
        <v>210</v>
      </c>
      <c r="D226" s="50">
        <f t="shared" si="9"/>
        <v>3.226038066439044</v>
      </c>
      <c r="E226" s="50">
        <f t="shared" si="11"/>
        <v>0.86328125</v>
      </c>
      <c r="F226" s="50">
        <f t="shared" si="10"/>
        <v>10.407321606113765</v>
      </c>
    </row>
    <row r="227" spans="1:6">
      <c r="A227" s="50" t="s">
        <v>209</v>
      </c>
      <c r="B227" s="50">
        <v>91</v>
      </c>
      <c r="C227" s="50" t="s">
        <v>208</v>
      </c>
      <c r="D227" s="50">
        <f t="shared" si="9"/>
        <v>8.3231124877557292</v>
      </c>
      <c r="E227" s="50">
        <f t="shared" si="11"/>
        <v>0.8671875</v>
      </c>
      <c r="F227" s="50">
        <f t="shared" si="10"/>
        <v>69.27420148383537</v>
      </c>
    </row>
    <row r="228" spans="1:6">
      <c r="A228" s="50" t="s">
        <v>207</v>
      </c>
      <c r="B228" s="50">
        <v>60.5</v>
      </c>
      <c r="C228" s="50" t="s">
        <v>206</v>
      </c>
      <c r="D228" s="50">
        <f t="shared" si="9"/>
        <v>7.6608332154372372</v>
      </c>
      <c r="E228" s="50">
        <f t="shared" si="11"/>
        <v>0.87109375</v>
      </c>
      <c r="F228" s="50">
        <f t="shared" si="10"/>
        <v>58.68836555474644</v>
      </c>
    </row>
    <row r="229" spans="1:6">
      <c r="A229" s="50" t="s">
        <v>205</v>
      </c>
      <c r="B229" s="50">
        <v>20.6</v>
      </c>
      <c r="C229" s="50" t="s">
        <v>204</v>
      </c>
      <c r="D229" s="50">
        <f t="shared" si="9"/>
        <v>10.06024241200535</v>
      </c>
      <c r="E229" s="50">
        <f t="shared" si="11"/>
        <v>0.875</v>
      </c>
      <c r="F229" s="50">
        <f t="shared" si="10"/>
        <v>101.20847738831121</v>
      </c>
    </row>
    <row r="230" spans="1:6">
      <c r="A230" s="50" t="s">
        <v>203</v>
      </c>
      <c r="B230" s="50">
        <v>14.8</v>
      </c>
      <c r="C230" s="50" t="s">
        <v>202</v>
      </c>
      <c r="D230" s="50">
        <f t="shared" si="9"/>
        <v>7.8054712759019198</v>
      </c>
      <c r="E230" s="50">
        <f t="shared" si="11"/>
        <v>0.87890625</v>
      </c>
      <c r="F230" s="50">
        <f t="shared" si="10"/>
        <v>60.925381838929944</v>
      </c>
    </row>
    <row r="231" spans="1:6">
      <c r="A231" s="50" t="s">
        <v>201</v>
      </c>
      <c r="B231" s="50">
        <v>33.9</v>
      </c>
      <c r="C231" s="50" t="s">
        <v>200</v>
      </c>
      <c r="D231" s="50">
        <f t="shared" si="9"/>
        <v>14.989690477875095</v>
      </c>
      <c r="E231" s="50">
        <f t="shared" si="11"/>
        <v>0.8828125</v>
      </c>
      <c r="F231" s="50">
        <f t="shared" si="10"/>
        <v>224.6908206224993</v>
      </c>
    </row>
    <row r="232" spans="1:6">
      <c r="A232" s="50" t="s">
        <v>199</v>
      </c>
      <c r="B232" s="50">
        <v>123</v>
      </c>
      <c r="C232" s="50" t="s">
        <v>198</v>
      </c>
      <c r="D232" s="50">
        <f t="shared" si="9"/>
        <v>13.698144208791275</v>
      </c>
      <c r="E232" s="50">
        <f t="shared" si="11"/>
        <v>0.88671875</v>
      </c>
      <c r="F232" s="50">
        <f t="shared" si="10"/>
        <v>187.63915476484195</v>
      </c>
    </row>
    <row r="233" spans="1:6">
      <c r="A233" s="50" t="s">
        <v>197</v>
      </c>
      <c r="B233" s="50">
        <v>211.1</v>
      </c>
      <c r="C233" s="50" t="s">
        <v>196</v>
      </c>
      <c r="D233" s="50">
        <f t="shared" si="9"/>
        <v>8.9615179790618456</v>
      </c>
      <c r="E233" s="50">
        <f t="shared" si="11"/>
        <v>0.890625</v>
      </c>
      <c r="F233" s="50">
        <f t="shared" si="10"/>
        <v>80.308804489048711</v>
      </c>
    </row>
    <row r="234" spans="1:6">
      <c r="A234" s="50" t="s">
        <v>195</v>
      </c>
      <c r="B234" s="50">
        <v>191.8</v>
      </c>
      <c r="C234" s="50" t="s">
        <v>194</v>
      </c>
      <c r="D234" s="50">
        <f t="shared" si="9"/>
        <v>9.9729331694090408</v>
      </c>
      <c r="E234" s="50">
        <f t="shared" si="11"/>
        <v>0.89453125</v>
      </c>
      <c r="F234" s="50">
        <f t="shared" si="10"/>
        <v>99.459396001499059</v>
      </c>
    </row>
    <row r="235" spans="1:6">
      <c r="A235" s="50" t="s">
        <v>193</v>
      </c>
      <c r="B235" s="50">
        <v>203.3</v>
      </c>
      <c r="C235" s="50" t="s">
        <v>192</v>
      </c>
      <c r="D235" s="50">
        <f t="shared" si="9"/>
        <v>21.555399268716496</v>
      </c>
      <c r="E235" s="50">
        <f t="shared" si="11"/>
        <v>0.8984375</v>
      </c>
      <c r="F235" s="50">
        <f t="shared" si="10"/>
        <v>464.63523763378362</v>
      </c>
    </row>
    <row r="236" spans="1:6">
      <c r="A236" s="50" t="s">
        <v>191</v>
      </c>
      <c r="B236" s="50">
        <v>133</v>
      </c>
      <c r="C236" s="50" t="s">
        <v>190</v>
      </c>
      <c r="D236" s="50">
        <f t="shared" si="9"/>
        <v>19.221586604840112</v>
      </c>
      <c r="E236" s="50">
        <f t="shared" si="11"/>
        <v>0.90234375</v>
      </c>
      <c r="F236" s="50">
        <f t="shared" si="10"/>
        <v>369.46939160736883</v>
      </c>
    </row>
    <row r="237" spans="1:6">
      <c r="A237" s="50" t="s">
        <v>189</v>
      </c>
      <c r="B237" s="50">
        <v>76.099999999999994</v>
      </c>
      <c r="C237" s="50" t="s">
        <v>188</v>
      </c>
      <c r="D237" s="50">
        <f t="shared" si="9"/>
        <v>38.651485055523089</v>
      </c>
      <c r="E237" s="50">
        <f t="shared" si="11"/>
        <v>0.90625</v>
      </c>
      <c r="F237" s="50">
        <f t="shared" si="10"/>
        <v>1493.9372969973247</v>
      </c>
    </row>
    <row r="238" spans="1:6">
      <c r="A238" s="50" t="s">
        <v>187</v>
      </c>
      <c r="B238" s="50">
        <v>44.9</v>
      </c>
      <c r="C238" s="50" t="s">
        <v>186</v>
      </c>
      <c r="D238" s="50">
        <f t="shared" si="9"/>
        <v>41.315173454230859</v>
      </c>
      <c r="E238" s="50">
        <f t="shared" si="11"/>
        <v>0.91015625</v>
      </c>
      <c r="F238" s="50">
        <f t="shared" si="10"/>
        <v>1706.9435575531822</v>
      </c>
    </row>
    <row r="239" spans="1:6">
      <c r="A239" s="50" t="s">
        <v>185</v>
      </c>
      <c r="B239" s="50">
        <v>25.1</v>
      </c>
      <c r="C239" s="50" t="s">
        <v>184</v>
      </c>
      <c r="D239" s="50">
        <f t="shared" si="9"/>
        <v>25.10499791878253</v>
      </c>
      <c r="E239" s="50">
        <f t="shared" si="11"/>
        <v>0.9140625</v>
      </c>
      <c r="F239" s="50">
        <f t="shared" si="10"/>
        <v>630.26092050207512</v>
      </c>
    </row>
    <row r="240" spans="1:6">
      <c r="A240" s="50" t="s">
        <v>183</v>
      </c>
      <c r="B240" s="50">
        <v>11.6</v>
      </c>
      <c r="C240" s="50" t="s">
        <v>182</v>
      </c>
      <c r="D240" s="50">
        <f t="shared" si="9"/>
        <v>8.9523787144726334</v>
      </c>
      <c r="E240" s="50">
        <f t="shared" si="11"/>
        <v>0.91796875</v>
      </c>
      <c r="F240" s="50">
        <f t="shared" si="10"/>
        <v>80.145084647342685</v>
      </c>
    </row>
    <row r="241" spans="1:6">
      <c r="A241" s="50" t="s">
        <v>181</v>
      </c>
      <c r="B241" s="50">
        <v>28.9</v>
      </c>
      <c r="C241" s="50" t="s">
        <v>180</v>
      </c>
      <c r="D241" s="50">
        <f t="shared" si="9"/>
        <v>3.9452645242204119</v>
      </c>
      <c r="E241" s="50">
        <f t="shared" si="11"/>
        <v>0.921875</v>
      </c>
      <c r="F241" s="50">
        <f t="shared" si="10"/>
        <v>15.565112166072113</v>
      </c>
    </row>
    <row r="242" spans="1:6">
      <c r="A242" s="50" t="s">
        <v>179</v>
      </c>
      <c r="B242" s="50">
        <v>88.3</v>
      </c>
      <c r="C242" s="50" t="s">
        <v>178</v>
      </c>
      <c r="D242" s="50">
        <f t="shared" si="9"/>
        <v>4.800942602252019</v>
      </c>
      <c r="E242" s="50">
        <f t="shared" si="11"/>
        <v>0.92578125</v>
      </c>
      <c r="F242" s="50">
        <f t="shared" si="10"/>
        <v>23.049049870118388</v>
      </c>
    </row>
    <row r="243" spans="1:6">
      <c r="A243" s="50" t="s">
        <v>177</v>
      </c>
      <c r="B243" s="50">
        <v>136.30000000000001</v>
      </c>
      <c r="C243" s="50" t="s">
        <v>176</v>
      </c>
      <c r="D243" s="50">
        <f t="shared" si="9"/>
        <v>10.583428310739137</v>
      </c>
      <c r="E243" s="50">
        <f t="shared" si="11"/>
        <v>0.9296875</v>
      </c>
      <c r="F243" s="50">
        <f t="shared" si="10"/>
        <v>112.00895480855466</v>
      </c>
    </row>
    <row r="244" spans="1:6">
      <c r="A244" s="50" t="s">
        <v>175</v>
      </c>
      <c r="B244" s="50">
        <v>173.9</v>
      </c>
      <c r="C244" s="50" t="s">
        <v>174</v>
      </c>
      <c r="D244" s="50">
        <f t="shared" si="9"/>
        <v>11.624855611678296</v>
      </c>
      <c r="E244" s="50">
        <f t="shared" si="11"/>
        <v>0.93359375</v>
      </c>
      <c r="F244" s="50">
        <f t="shared" si="10"/>
        <v>135.13726799236835</v>
      </c>
    </row>
    <row r="245" spans="1:6">
      <c r="A245" s="50" t="s">
        <v>173</v>
      </c>
      <c r="B245" s="50">
        <v>170.4</v>
      </c>
      <c r="C245" s="50" t="s">
        <v>172</v>
      </c>
      <c r="D245" s="50">
        <f t="shared" si="9"/>
        <v>4.3463446194579491</v>
      </c>
      <c r="E245" s="50">
        <f t="shared" si="11"/>
        <v>0.9375</v>
      </c>
      <c r="F245" s="50">
        <f t="shared" si="10"/>
        <v>18.890711551091066</v>
      </c>
    </row>
    <row r="246" spans="1:6">
      <c r="A246" s="50" t="s">
        <v>171</v>
      </c>
      <c r="B246" s="50">
        <v>163.6</v>
      </c>
      <c r="C246" s="50" t="s">
        <v>170</v>
      </c>
      <c r="D246" s="50">
        <f t="shared" si="9"/>
        <v>3.5857951722024635</v>
      </c>
      <c r="E246" s="50">
        <f t="shared" si="11"/>
        <v>0.94140625</v>
      </c>
      <c r="F246" s="50">
        <f t="shared" si="10"/>
        <v>12.857927016990494</v>
      </c>
    </row>
    <row r="247" spans="1:6">
      <c r="A247" s="50" t="s">
        <v>169</v>
      </c>
      <c r="B247" s="50">
        <v>99.3</v>
      </c>
      <c r="C247" s="50" t="s">
        <v>168</v>
      </c>
      <c r="D247" s="50">
        <f t="shared" si="9"/>
        <v>4.7403261298036119</v>
      </c>
      <c r="E247" s="50">
        <f t="shared" si="11"/>
        <v>0.9453125</v>
      </c>
      <c r="F247" s="50">
        <f t="shared" si="10"/>
        <v>22.470691816898889</v>
      </c>
    </row>
    <row r="248" spans="1:6">
      <c r="A248" s="50" t="s">
        <v>167</v>
      </c>
      <c r="B248" s="50">
        <v>65.3</v>
      </c>
      <c r="C248" s="50" t="s">
        <v>166</v>
      </c>
      <c r="D248" s="50">
        <f t="shared" si="9"/>
        <v>2.3037539704081902</v>
      </c>
      <c r="E248" s="50">
        <f t="shared" si="11"/>
        <v>0.94921875</v>
      </c>
      <c r="F248" s="50">
        <f t="shared" si="10"/>
        <v>5.3072823561715001</v>
      </c>
    </row>
    <row r="249" spans="1:6">
      <c r="A249" s="50" t="s">
        <v>165</v>
      </c>
      <c r="B249" s="50">
        <v>45.8</v>
      </c>
      <c r="C249" s="50" t="s">
        <v>164</v>
      </c>
      <c r="D249" s="50">
        <f t="shared" si="9"/>
        <v>10.835535451848159</v>
      </c>
      <c r="E249" s="50">
        <f t="shared" si="11"/>
        <v>0.953125</v>
      </c>
      <c r="F249" s="50">
        <f t="shared" si="10"/>
        <v>117.40882852825828</v>
      </c>
    </row>
    <row r="250" spans="1:6">
      <c r="A250" s="50" t="s">
        <v>163</v>
      </c>
      <c r="B250" s="50">
        <v>24.7</v>
      </c>
      <c r="C250" s="50" t="s">
        <v>162</v>
      </c>
      <c r="D250" s="50">
        <f t="shared" si="9"/>
        <v>2.7150827525149142</v>
      </c>
      <c r="E250" s="50">
        <f t="shared" si="11"/>
        <v>0.95703125</v>
      </c>
      <c r="F250" s="50">
        <f t="shared" si="10"/>
        <v>7.3716743530039626</v>
      </c>
    </row>
    <row r="251" spans="1:6">
      <c r="A251" s="50" t="s">
        <v>161</v>
      </c>
      <c r="B251" s="50">
        <v>12.6</v>
      </c>
      <c r="C251" s="50" t="s">
        <v>160</v>
      </c>
      <c r="D251" s="50">
        <f t="shared" si="9"/>
        <v>5.3750926214192498</v>
      </c>
      <c r="E251" s="50">
        <f t="shared" si="11"/>
        <v>0.9609375</v>
      </c>
      <c r="F251" s="50">
        <f t="shared" si="10"/>
        <v>28.891620688835662</v>
      </c>
    </row>
    <row r="252" spans="1:6">
      <c r="A252" s="50" t="s">
        <v>159</v>
      </c>
      <c r="B252" s="50">
        <v>4.2</v>
      </c>
      <c r="C252" s="50" t="s">
        <v>158</v>
      </c>
      <c r="D252" s="50">
        <f t="shared" si="9"/>
        <v>6.8269759177132361</v>
      </c>
      <c r="E252" s="50">
        <f t="shared" si="11"/>
        <v>0.96484375</v>
      </c>
      <c r="F252" s="50">
        <f t="shared" si="10"/>
        <v>46.607600181036482</v>
      </c>
    </row>
    <row r="253" spans="1:6">
      <c r="A253" s="50" t="s">
        <v>157</v>
      </c>
      <c r="B253" s="50">
        <v>4.8</v>
      </c>
      <c r="C253" s="50" t="s">
        <v>156</v>
      </c>
      <c r="D253" s="50">
        <f t="shared" si="9"/>
        <v>3.4431031753238139</v>
      </c>
      <c r="E253" s="50">
        <f t="shared" si="11"/>
        <v>0.96875</v>
      </c>
      <c r="F253" s="50">
        <f t="shared" si="10"/>
        <v>11.854959475924931</v>
      </c>
    </row>
    <row r="254" spans="1:6">
      <c r="A254" s="50" t="s">
        <v>155</v>
      </c>
      <c r="B254" s="50">
        <v>24.9</v>
      </c>
      <c r="C254" s="50" t="s">
        <v>154</v>
      </c>
      <c r="D254" s="50">
        <f t="shared" si="9"/>
        <v>3.4887072825181558</v>
      </c>
      <c r="E254" s="50">
        <f t="shared" si="11"/>
        <v>0.97265625</v>
      </c>
      <c r="F254" s="50">
        <f t="shared" si="10"/>
        <v>12.171078503095215</v>
      </c>
    </row>
    <row r="255" spans="1:6">
      <c r="A255" s="50" t="s">
        <v>153</v>
      </c>
      <c r="B255" s="50">
        <v>80.8</v>
      </c>
      <c r="C255" s="50" t="s">
        <v>152</v>
      </c>
      <c r="D255" s="50">
        <f t="shared" si="9"/>
        <v>10.120727970896356</v>
      </c>
      <c r="E255" s="50">
        <f t="shared" si="11"/>
        <v>0.9765625</v>
      </c>
      <c r="F255" s="50">
        <f t="shared" si="10"/>
        <v>102.42913466088386</v>
      </c>
    </row>
    <row r="256" spans="1:6">
      <c r="A256" s="50" t="s">
        <v>151</v>
      </c>
      <c r="B256" s="50">
        <v>84.5</v>
      </c>
      <c r="C256" s="50" t="s">
        <v>150</v>
      </c>
      <c r="D256" s="50">
        <f t="shared" si="9"/>
        <v>13.445665637965559</v>
      </c>
      <c r="E256" s="50">
        <f t="shared" si="11"/>
        <v>0.98046875</v>
      </c>
      <c r="F256" s="50">
        <f t="shared" si="10"/>
        <v>180.7859244479678</v>
      </c>
    </row>
    <row r="257" spans="1:6">
      <c r="A257" s="50" t="s">
        <v>149</v>
      </c>
      <c r="B257" s="50">
        <v>94</v>
      </c>
      <c r="C257" s="50" t="s">
        <v>148</v>
      </c>
      <c r="D257" s="50">
        <f t="shared" si="9"/>
        <v>14.494473058123283</v>
      </c>
      <c r="E257" s="50">
        <f t="shared" si="11"/>
        <v>0.984375</v>
      </c>
      <c r="F257" s="50">
        <f t="shared" si="10"/>
        <v>210.08974923266172</v>
      </c>
    </row>
    <row r="258" spans="1:6">
      <c r="A258" s="50" t="s">
        <v>147</v>
      </c>
      <c r="B258" s="50">
        <v>113.3</v>
      </c>
      <c r="C258" s="50" t="s">
        <v>146</v>
      </c>
      <c r="D258" s="50">
        <f t="shared" si="9"/>
        <v>21.582757616655222</v>
      </c>
      <c r="E258" s="50">
        <f t="shared" si="11"/>
        <v>0.98828125</v>
      </c>
      <c r="F258" s="50">
        <f t="shared" si="10"/>
        <v>465.81542633928899</v>
      </c>
    </row>
    <row r="259" spans="1:6">
      <c r="A259" s="50" t="s">
        <v>145</v>
      </c>
      <c r="B259" s="50">
        <v>69.8</v>
      </c>
      <c r="C259" s="50" t="s">
        <v>144</v>
      </c>
      <c r="D259" s="50">
        <f t="shared" si="9"/>
        <v>14.418553676562759</v>
      </c>
      <c r="E259" s="50">
        <f t="shared" si="11"/>
        <v>0.9921875</v>
      </c>
      <c r="F259" s="50">
        <f t="shared" si="10"/>
        <v>207.89469012392146</v>
      </c>
    </row>
    <row r="260" spans="1:6">
      <c r="A260" s="50" t="s">
        <v>143</v>
      </c>
      <c r="B260" s="50">
        <v>39.799999999999997</v>
      </c>
      <c r="C260" s="50" t="s">
        <v>142</v>
      </c>
      <c r="D260" s="50">
        <f t="shared" si="9"/>
        <v>13.640047533759651</v>
      </c>
      <c r="E260" s="50">
        <f t="shared" si="11"/>
        <v>0.99609375</v>
      </c>
      <c r="F260" s="50">
        <f t="shared" si="10"/>
        <v>186.05089672322273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2.1-2.7</vt:lpstr>
      <vt:lpstr>2.8-2.9</vt:lpstr>
      <vt:lpstr>2.10</vt:lpstr>
      <vt:lpstr>2.11</vt:lpstr>
      <vt:lpstr>2.12</vt:lpstr>
      <vt:lpstr>2.13</vt:lpstr>
      <vt:lpstr>2.14</vt:lpstr>
      <vt:lpstr>2.15</vt:lpstr>
      <vt:lpstr>2.15a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Branko Pecar</dc:creator>
  <cp:lastModifiedBy>Branko Pecar</cp:lastModifiedBy>
  <dcterms:created xsi:type="dcterms:W3CDTF">2019-08-16T14:47:13Z</dcterms:created>
  <dcterms:modified xsi:type="dcterms:W3CDTF">2020-10-01T07:46:08Z</dcterms:modified>
</cp:coreProperties>
</file>